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540" tabRatio="728" activeTab="0"/>
  </bookViews>
  <sheets>
    <sheet name="Notes" sheetId="1" r:id="rId1"/>
    <sheet name="850serial50MMF" sheetId="2" r:id="rId2"/>
    <sheet name="850CWDM50MMF" sheetId="3" r:id="rId3"/>
    <sheet name="850CWDM62MMF" sheetId="4" r:id="rId4"/>
    <sheet name="1300nm62MMF" sheetId="5" r:id="rId5"/>
    <sheet name="1300nm50MMF" sheetId="6" r:id="rId6"/>
    <sheet name="1300WWDM_SMF" sheetId="7" r:id="rId7"/>
    <sheet name="1300serial_SMF" sheetId="8" r:id="rId8"/>
    <sheet name="1550nmSMF" sheetId="9" r:id="rId9"/>
  </sheets>
  <definedNames>
    <definedName name="_xlnm.Print_Area" localSheetId="5">'1300nm50MMF'!$A$1:$W$52</definedName>
    <definedName name="_xlnm.Print_Area" localSheetId="4">'1300nm62MMF'!$A$1:$W$52</definedName>
    <definedName name="_xlnm.Print_Area" localSheetId="7">'1300serial_SMF'!$A$1:$W$52</definedName>
    <definedName name="_xlnm.Print_Area" localSheetId="6">'1300WWDM_SMF'!$A$1:$W$52</definedName>
    <definedName name="_xlnm.Print_Area" localSheetId="8">'1550nmSMF'!$A$1:$W$52</definedName>
    <definedName name="_xlnm.Print_Area" localSheetId="2">'850CWDM50MMF'!$A$1:$W$52</definedName>
    <definedName name="_xlnm.Print_Area" localSheetId="3">'850CWDM62MMF'!$A$1:$W$52</definedName>
    <definedName name="_xlnm.Print_Area" localSheetId="1">'850serial50MMF'!$A$1:$AA$11</definedName>
    <definedName name="PRINT_AREA_MI" localSheetId="5">'1300nm50MMF'!$A$5:$H$30</definedName>
    <definedName name="PRINT_AREA_MI" localSheetId="4">'1300nm62MMF'!$A$5:$H$30</definedName>
    <definedName name="PRINT_AREA_MI" localSheetId="7">'1300serial_SMF'!$A$5:$H$30</definedName>
    <definedName name="PRINT_AREA_MI" localSheetId="6">'1300WWDM_SMF'!$A$5:$H$30</definedName>
    <definedName name="PRINT_AREA_MI" localSheetId="8">'1550nmSMF'!$A$5:$H$30</definedName>
    <definedName name="PRINT_AREA_MI" localSheetId="2">'850CWDM50MMF'!$A$5:$H$30</definedName>
    <definedName name="PRINT_AREA_MI" localSheetId="3">'850CWDM62MMF'!$A$5:$H$30</definedName>
    <definedName name="PRINT_AREA_MI" localSheetId="1">'850serial50MMF'!$A$5:$H$30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<sst xmlns="http://schemas.openxmlformats.org/spreadsheetml/2006/main" count="1305" uniqueCount="190">
  <si>
    <t>62MMF</t>
  </si>
  <si>
    <t>Rev.</t>
  </si>
  <si>
    <t>Input=</t>
  </si>
  <si>
    <t>Bold</t>
  </si>
  <si>
    <t>C_att=</t>
  </si>
  <si>
    <t>BWm(MHz*km)=</t>
  </si>
  <si>
    <t>Ts(10-90)=</t>
  </si>
  <si>
    <t>P: Power Budget</t>
  </si>
  <si>
    <t>Uw(nm)=</t>
  </si>
  <si>
    <t>So(ps/nm^2*km)=</t>
  </si>
  <si>
    <t>RIN_Coef=</t>
  </si>
  <si>
    <t>C: Connection Loss</t>
  </si>
  <si>
    <t>C1=</t>
  </si>
  <si>
    <t>Rate (MBd)=</t>
  </si>
  <si>
    <t>Ts(20-80)=</t>
  </si>
  <si>
    <t>Q=</t>
  </si>
  <si>
    <t>Effective Rate (MBd)=</t>
  </si>
  <si>
    <t>Effective Rec Eye(UI)=</t>
  </si>
  <si>
    <t>MPN, k=</t>
  </si>
  <si>
    <t>DCD_DJ(ps)=</t>
  </si>
  <si>
    <t>Rec Eye(UI)=</t>
  </si>
  <si>
    <t>MN (dB)=</t>
  </si>
  <si>
    <t>Min Launch Pwr(dBm)=</t>
  </si>
  <si>
    <t>Ptot -(P-C)=</t>
  </si>
  <si>
    <t>dB @ Lmax</t>
  </si>
  <si>
    <t>Stressed</t>
  </si>
  <si>
    <t>Test Source ER (dB)=</t>
  </si>
  <si>
    <t>Receiver</t>
  </si>
  <si>
    <t>Link</t>
  </si>
  <si>
    <t xml:space="preserve">Test </t>
  </si>
  <si>
    <t>(dB)</t>
  </si>
  <si>
    <t xml:space="preserve"> (dB)</t>
  </si>
  <si>
    <t>Sensitivity</t>
  </si>
  <si>
    <t>Margin</t>
  </si>
  <si>
    <t>Spec</t>
  </si>
  <si>
    <t>Source</t>
  </si>
  <si>
    <t>D2</t>
  </si>
  <si>
    <t>Pisi</t>
  </si>
  <si>
    <t>Patt</t>
  </si>
  <si>
    <t>Beta</t>
  </si>
  <si>
    <t>SDmpn</t>
  </si>
  <si>
    <t>Pmpn</t>
  </si>
  <si>
    <t>V_rin</t>
  </si>
  <si>
    <t>Prin</t>
  </si>
  <si>
    <t>Per</t>
  </si>
  <si>
    <t>Pmn</t>
  </si>
  <si>
    <t>R. Eye</t>
  </si>
  <si>
    <t>P-C</t>
  </si>
  <si>
    <t>Ptotal</t>
  </si>
  <si>
    <t>Ch IL</t>
  </si>
  <si>
    <t>LP Pen</t>
  </si>
  <si>
    <t>(dBm)</t>
  </si>
  <si>
    <t>(dB/10 m)</t>
  </si>
  <si>
    <t>ER(dB)</t>
  </si>
  <si>
    <t>50MMF</t>
  </si>
  <si>
    <t>Uc(nm)=</t>
  </si>
  <si>
    <t>Uo(nm)=</t>
  </si>
  <si>
    <t xml:space="preserve">D1 </t>
  </si>
  <si>
    <t>(ps/(nm.km))</t>
  </si>
  <si>
    <t>1300nm</t>
  </si>
  <si>
    <t>SMF</t>
  </si>
  <si>
    <t>P_BLW</t>
  </si>
  <si>
    <t>P_BLW(no ISI)=</t>
  </si>
  <si>
    <t>dB</t>
  </si>
  <si>
    <t>(no units)</t>
  </si>
  <si>
    <t>closed eye</t>
  </si>
  <si>
    <t>fraction of 1/2 eye</t>
  </si>
  <si>
    <t>Power Budget P (dB)=</t>
  </si>
  <si>
    <t xml:space="preserve">         Connections C (dB)=</t>
  </si>
  <si>
    <t>Notes</t>
  </si>
  <si>
    <t>http://grouper.ieee.org/groups/802/3/10G_study/public/email_attach/All_1250.xls</t>
  </si>
  <si>
    <t>"Back-to-back" line added showing case of 2m fibre, low RIN source with rise time as specified</t>
  </si>
  <si>
    <t>Baseline wander formulae included, assuming low-overhead scrambled coding e.g. SONET or 64B66B</t>
  </si>
  <si>
    <t>T_rx</t>
  </si>
  <si>
    <t>Spec ER=</t>
  </si>
  <si>
    <t>RMS Baseline wander S.D.=</t>
  </si>
  <si>
    <t>Case:</t>
  </si>
  <si>
    <t>no units</t>
  </si>
  <si>
    <t>ISI &amp; TP4</t>
  </si>
  <si>
    <t>Pcross</t>
  </si>
  <si>
    <t>BWcd</t>
  </si>
  <si>
    <t>BWm</t>
  </si>
  <si>
    <t>Te</t>
  </si>
  <si>
    <t>Tc</t>
  </si>
  <si>
    <t>(MHz)</t>
  </si>
  <si>
    <t>dB/Hz</t>
  </si>
  <si>
    <t>RIN=</t>
  </si>
  <si>
    <t>(km)</t>
  </si>
  <si>
    <t xml:space="preserve">L  </t>
  </si>
  <si>
    <t>Ext R</t>
  </si>
  <si>
    <t xml:space="preserve">    P_BLW is the effect of baseline wander assuming fast transmitter, receiver bandwidth as specified, no fibre</t>
  </si>
  <si>
    <t xml:space="preserve">    P_BLW(no ISI) is the effect of baseline wander assuming ample bandwidth in transmitter and receiver, no fibre</t>
  </si>
  <si>
    <t xml:space="preserve">    Suggest reduce DCD_RJ if using BLW terms in low-overhead scenario</t>
  </si>
  <si>
    <t xml:space="preserve">    The definition of "Power budget" (transmitted power - receiver sensitivity) already includes this effect.</t>
  </si>
  <si>
    <t xml:space="preserve">    Input parameter "RMS baseline wander" is like a signal/noise ratio: Standard dev/(eye height * 0.5)</t>
  </si>
  <si>
    <t>Atten=</t>
  </si>
  <si>
    <t>Base Rate=</t>
  </si>
  <si>
    <t>Rec_BW=</t>
  </si>
  <si>
    <t>ISI_TP4_Rx</t>
  </si>
  <si>
    <t>ps</t>
  </si>
  <si>
    <t>TP4 Eye Opening=</t>
  </si>
  <si>
    <t>MBd</t>
  </si>
  <si>
    <t>MHz</t>
  </si>
  <si>
    <t>ns.MHz</t>
  </si>
  <si>
    <t>Target reach</t>
  </si>
  <si>
    <t>km</t>
  </si>
  <si>
    <t>Target</t>
  </si>
  <si>
    <t>L_start=</t>
  </si>
  <si>
    <t>L_inc=</t>
  </si>
  <si>
    <t>(ps)</t>
  </si>
  <si>
    <t>Tb=</t>
  </si>
  <si>
    <t>1550nm</t>
  </si>
  <si>
    <t>Attenuation</t>
  </si>
  <si>
    <t>(for margin</t>
  </si>
  <si>
    <t>Margin at target reach calculated</t>
  </si>
  <si>
    <t>Attenuation specification at standard wavelength clarified</t>
  </si>
  <si>
    <t>"New MMF" scenario added</t>
  </si>
  <si>
    <t>*</t>
  </si>
  <si>
    <t>Interaction between ISI, TP4 eye closure, RIN, MPN and baseline wander calculated</t>
  </si>
  <si>
    <t xml:space="preserve">    Pcross is the extra penalty caused by these interactions</t>
  </si>
  <si>
    <t>See"Notes" page</t>
  </si>
  <si>
    <t>Spreadsheet by Del Hanson, David Cunningham, Piers Dawe, David Dolfi  Agilent Technologies</t>
  </si>
  <si>
    <t>Modifications over the IEEE 802.3z link model spreadsheet,</t>
  </si>
  <si>
    <t>http://grouper.ieee.org/groups/802/3/10G_study/public/email_attach/All_1250v2.xls</t>
  </si>
  <si>
    <t>GbE formula for ISI penalty replaced with self-consistent Gaussian approximation</t>
  </si>
  <si>
    <t>Bandwidth to risetime conversion factor for receiver corrected,</t>
  </si>
  <si>
    <t>Notes, change history</t>
  </si>
  <si>
    <t>ERF arg=</t>
  </si>
  <si>
    <t>ERF=</t>
  </si>
  <si>
    <t>B1=</t>
  </si>
  <si>
    <t>ERF arg</t>
  </si>
  <si>
    <r>
      <t>h</t>
    </r>
    <r>
      <rPr>
        <vertAlign val="subscript"/>
        <sz val="12"/>
        <color indexed="23"/>
        <rFont val="Arial"/>
        <family val="2"/>
      </rPr>
      <t>eye</t>
    </r>
    <r>
      <rPr>
        <sz val="12"/>
        <color indexed="23"/>
        <rFont val="Arial"/>
        <family val="2"/>
      </rPr>
      <t>(0)</t>
    </r>
  </si>
  <si>
    <t>Erf arg 1</t>
  </si>
  <si>
    <t>Erf arg 2</t>
  </si>
  <si>
    <t>at target L)</t>
  </si>
  <si>
    <t>graph)</t>
  </si>
  <si>
    <t>(for</t>
  </si>
  <si>
    <t xml:space="preserve">62 MMF dispersion S0 at worst lambda0 corrected from 0.11 to 0.093 </t>
  </si>
  <si>
    <t>GbE formula for receiver eye penalty replaced with self-consistent Gaussian approximation</t>
  </si>
  <si>
    <t>Based on updated Gigabit Ethernet Spreadsheet as detailed below</t>
  </si>
  <si>
    <t>Corrections to February 1550 nm page:</t>
  </si>
  <si>
    <t>Receiver (minimum) bandwidth corrected from 9500 to 7725 MHz</t>
  </si>
  <si>
    <t>1300nm serial</t>
  </si>
  <si>
    <t>Changes to February 1550 nm page:</t>
  </si>
  <si>
    <t>"Worst" dispersion is for dispersion min. at shortest wavelength (but anyway, linewidth is a fiction to represent unspecified chirp/dispersion management)</t>
  </si>
  <si>
    <t>This file:</t>
  </si>
  <si>
    <t>Modifications over IEEE 802.3ae link model spreadsheet of March 2000,</t>
  </si>
  <si>
    <t>Modifications over version 2.3:</t>
  </si>
  <si>
    <t>I have increased Tx risetime from 20 to 33 ps (representing what I think is achievable at reasonable cost)</t>
  </si>
  <si>
    <t>1300nm WWDM</t>
  </si>
  <si>
    <t>Cell AA9 "ISI_TP4_Rx" re-ordered to avoid same Excel 2000 error.  No change to results.</t>
  </si>
  <si>
    <t>Column AI "Erf arg 2" redefined to be positive so that Excel 2000 doesn't give error, erf(negative number) = #NUM!  No change to results.</t>
  </si>
  <si>
    <t xml:space="preserve"> </t>
  </si>
  <si>
    <t>I have decreased (fictional) Tx spectral width from 0.05 to 0.034 nm (representing what appears to be</t>
  </si>
  <si>
    <t>necessary to keep ISI &amp;TP4 to 3 dB).  This gives approx. 2 dB "Link penalty" in ITU terms.</t>
  </si>
  <si>
    <t>Attenuation figure adjusted to give 0.3 dB/km at 1565 nm following G.957 (1995)</t>
  </si>
  <si>
    <t>Details of transmitter risetime and dispersion accommodation are still to be worked</t>
  </si>
  <si>
    <t>Unallocated margin held high to allow for 1 dB of unknown.</t>
  </si>
  <si>
    <t>dBm.   This is too optimistic</t>
  </si>
  <si>
    <t>Implied receiver sensitivity is:</t>
  </si>
  <si>
    <t xml:space="preserve">Total insertion loss of </t>
  </si>
  <si>
    <t>dB to be compared with ITU's 11 dB</t>
  </si>
  <si>
    <t>Changes over 3pmd042.xls of 27 April 2000:</t>
  </si>
  <si>
    <t>Spectral width Uw reduced from 0.65 to 0.62 nm</t>
  </si>
  <si>
    <t>DCD_DJ revised from 14.4 to 20.5, being ~sqrt(2/3)*DCD_DJ(MMF)</t>
  </si>
  <si>
    <t>Receiver bandwidth to risetime conversion factor shown explicitly</t>
  </si>
  <si>
    <t>Column S, "P_C" replaced by single box, as not length dependent</t>
  </si>
  <si>
    <t>&lt;- This revision number refers to the PMD numbers</t>
  </si>
  <si>
    <t>&lt;- This revision number refers to the model and spreadsheet structure</t>
  </si>
  <si>
    <t>Changes over 3pmd042.xls of 27 April 2000:  See 1300WWDM_SMF page</t>
  </si>
  <si>
    <t>See 1550 nm page</t>
  </si>
  <si>
    <t>c_rx</t>
  </si>
  <si>
    <t>http://www.ieee802.org/3/ae/public/may00/hanson_1_0500.pdf</t>
  </si>
  <si>
    <t>Changes over 3pmd043.xls of 8 May 2000:  none, just formatting (see below)</t>
  </si>
  <si>
    <t>Parameter values are as Del Hanson's May 2000 presentation,</t>
  </si>
  <si>
    <t>This version prepared by Piers Dawe</t>
  </si>
  <si>
    <t>To be filed at:</t>
  </si>
  <si>
    <t>5pmd047.xls</t>
  </si>
  <si>
    <t>0.4.7</t>
  </si>
  <si>
    <t>http://www.ieee802.org/3/10G_study/public/email_attach/5pmd047.xls</t>
  </si>
  <si>
    <t>This spreadsheet represents 5 PMDs:  850 serial, 850 CWDM, 1300 nm DFB, 1550 long haul, and 1300 band WWDM in "LAN PHY" application</t>
  </si>
  <si>
    <t>http://grouper.ieee.org/groups/802/3/ae/public/may00/kolesar_1_0500.pdf</t>
  </si>
  <si>
    <t>http://grouper.ieee.org/groups/802/3/ae/public/may00/wiedemann_1_0500.pdf</t>
  </si>
  <si>
    <t>Parameter values added to reflect Paul Kolesar's and Bill Weideman's May 2000 presentations, (RAM)</t>
  </si>
  <si>
    <t>850nm serial</t>
  </si>
  <si>
    <t>MMF</t>
  </si>
  <si>
    <t>850nm CWDM</t>
  </si>
  <si>
    <t>Modifications over version 2.3.4:</t>
  </si>
  <si>
    <t>Column J "Beta" formula: $P$6 replaced with $E$7</t>
  </si>
  <si>
    <t>2.3.5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</si>
</sst>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"/>
    <numFmt numFmtId="179" formatCode="0.000"/>
    <numFmt numFmtId="180" formatCode="0.000E+00"/>
    <numFmt numFmtId="181" formatCode="0.0E+00"/>
    <numFmt numFmtId="182" formatCode="#.0##"/>
    <numFmt numFmtId="183" formatCode="###0.0##"/>
    <numFmt numFmtId="184" formatCode="0.E+00"/>
    <numFmt numFmtId="185" formatCode="0.##"/>
  </numFmts>
  <fonts count="29">
    <font>
      <sz val="10"/>
      <name val="Arial"/>
      <family val="0"/>
    </font>
    <font>
      <sz val="11"/>
      <name val="Arial"/>
      <family val="0"/>
    </font>
    <font>
      <sz val="11"/>
      <color indexed="8"/>
      <name val="Arial"/>
      <family val="0"/>
    </font>
    <font>
      <b/>
      <sz val="11"/>
      <color indexed="10"/>
      <name val="Arial"/>
      <family val="0"/>
    </font>
    <font>
      <b/>
      <sz val="11"/>
      <color indexed="8"/>
      <name val="Arial"/>
      <family val="0"/>
    </font>
    <font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b/>
      <sz val="12"/>
      <color indexed="57"/>
      <name val="Arial"/>
      <family val="2"/>
    </font>
    <font>
      <sz val="12"/>
      <color indexed="57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2"/>
      <color indexed="12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1"/>
      <color indexed="55"/>
      <name val="Arial"/>
      <family val="2"/>
    </font>
    <font>
      <sz val="12"/>
      <color indexed="55"/>
      <name val="Arial"/>
      <family val="2"/>
    </font>
    <font>
      <sz val="11"/>
      <color indexed="23"/>
      <name val="Arial"/>
      <family val="2"/>
    </font>
    <font>
      <b/>
      <sz val="12"/>
      <color indexed="23"/>
      <name val="Arial"/>
      <family val="2"/>
    </font>
    <font>
      <sz val="12"/>
      <color indexed="23"/>
      <name val="Arial"/>
      <family val="2"/>
    </font>
    <font>
      <vertAlign val="subscript"/>
      <sz val="12"/>
      <color indexed="23"/>
      <name val="Arial"/>
      <family val="2"/>
    </font>
    <font>
      <b/>
      <sz val="12"/>
      <color indexed="5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2" fillId="0" borderId="0" xfId="21" applyFont="1" applyAlignment="1">
      <alignment/>
      <protection/>
    </xf>
    <xf numFmtId="0" fontId="2" fillId="0" borderId="0" xfId="21" applyFont="1" applyAlignment="1">
      <alignment horizontal="right"/>
      <protection/>
    </xf>
    <xf numFmtId="2" fontId="2" fillId="0" borderId="0" xfId="21" applyNumberFormat="1" applyFont="1" applyAlignment="1">
      <alignment horizontal="center"/>
      <protection/>
    </xf>
    <xf numFmtId="2" fontId="2" fillId="0" borderId="0" xfId="21" applyNumberFormat="1" applyFont="1" applyAlignment="1">
      <alignment/>
      <protection/>
    </xf>
    <xf numFmtId="0" fontId="1" fillId="0" borderId="0" xfId="21" applyNumberFormat="1" applyFont="1" applyAlignment="1">
      <alignment/>
      <protection locked="0"/>
    </xf>
    <xf numFmtId="0" fontId="2" fillId="0" borderId="0" xfId="21" applyFont="1" applyAlignment="1">
      <alignment horizontal="center"/>
      <protection/>
    </xf>
    <xf numFmtId="0" fontId="3" fillId="0" borderId="0" xfId="21" applyNumberFormat="1" applyFont="1" applyAlignment="1">
      <alignment/>
      <protection locked="0"/>
    </xf>
    <xf numFmtId="2" fontId="2" fillId="0" borderId="0" xfId="21" applyNumberFormat="1" applyFont="1" applyAlignment="1">
      <alignment horizontal="right"/>
      <protection/>
    </xf>
    <xf numFmtId="0" fontId="4" fillId="0" borderId="0" xfId="21" applyFont="1" applyAlignment="1">
      <alignment/>
      <protection/>
    </xf>
    <xf numFmtId="0" fontId="1" fillId="0" borderId="0" xfId="21" applyNumberFormat="1" applyFont="1" applyAlignment="1">
      <alignment horizontal="center"/>
      <protection locked="0"/>
    </xf>
    <xf numFmtId="1" fontId="2" fillId="0" borderId="0" xfId="21" applyNumberFormat="1" applyFont="1" applyAlignment="1">
      <alignment horizontal="center"/>
      <protection/>
    </xf>
    <xf numFmtId="0" fontId="1" fillId="0" borderId="0" xfId="21" applyNumberFormat="1" applyAlignment="1">
      <alignment horizontal="center"/>
      <protection locked="0"/>
    </xf>
    <xf numFmtId="0" fontId="1" fillId="0" borderId="0" xfId="21" applyNumberFormat="1">
      <alignment/>
      <protection/>
    </xf>
    <xf numFmtId="0" fontId="1" fillId="0" borderId="0" xfId="21" applyNumberFormat="1" applyAlignment="1">
      <alignment horizontal="center"/>
      <protection/>
    </xf>
    <xf numFmtId="0" fontId="2" fillId="0" borderId="0" xfId="21" applyNumberFormat="1" applyFont="1" applyAlignment="1">
      <alignment/>
      <protection/>
    </xf>
    <xf numFmtId="1" fontId="4" fillId="0" borderId="0" xfId="21" applyNumberFormat="1" applyFont="1" applyAlignment="1">
      <alignment horizontal="center"/>
      <protection/>
    </xf>
    <xf numFmtId="1" fontId="2" fillId="0" borderId="0" xfId="21" applyNumberFormat="1" applyFont="1" applyAlignment="1">
      <alignment/>
      <protection/>
    </xf>
    <xf numFmtId="2" fontId="7" fillId="0" borderId="0" xfId="21" applyNumberFormat="1" applyFont="1" applyAlignment="1">
      <alignment/>
      <protection/>
    </xf>
    <xf numFmtId="0" fontId="7" fillId="0" borderId="0" xfId="21" applyFont="1" applyAlignment="1">
      <alignment horizontal="center"/>
      <protection/>
    </xf>
    <xf numFmtId="0" fontId="10" fillId="0" borderId="0" xfId="21" applyNumberFormat="1" applyFont="1" applyAlignment="1">
      <alignment/>
      <protection locked="0"/>
    </xf>
    <xf numFmtId="2" fontId="6" fillId="0" borderId="0" xfId="21" applyNumberFormat="1" applyFont="1" applyAlignment="1">
      <alignment horizontal="right"/>
      <protection/>
    </xf>
    <xf numFmtId="0" fontId="6" fillId="0" borderId="0" xfId="21" applyFont="1" applyAlignment="1">
      <alignment/>
      <protection/>
    </xf>
    <xf numFmtId="2" fontId="6" fillId="0" borderId="0" xfId="21" applyNumberFormat="1" applyFont="1" applyAlignment="1">
      <alignment/>
      <protection/>
    </xf>
    <xf numFmtId="0" fontId="6" fillId="0" borderId="0" xfId="21" applyFont="1" applyAlignment="1">
      <alignment horizontal="center"/>
      <protection/>
    </xf>
    <xf numFmtId="2" fontId="6" fillId="0" borderId="0" xfId="21" applyNumberFormat="1" applyFont="1" applyAlignment="1">
      <alignment horizontal="center"/>
      <protection/>
    </xf>
    <xf numFmtId="0" fontId="13" fillId="0" borderId="0" xfId="21" applyNumberFormat="1" applyFont="1" applyAlignment="1">
      <alignment/>
      <protection locked="0"/>
    </xf>
    <xf numFmtId="2" fontId="7" fillId="0" borderId="0" xfId="21" applyNumberFormat="1" applyFont="1" applyAlignment="1">
      <alignment horizontal="center"/>
      <protection/>
    </xf>
    <xf numFmtId="0" fontId="6" fillId="0" borderId="0" xfId="21" applyFont="1" applyAlignment="1">
      <alignment horizontal="right"/>
      <protection/>
    </xf>
    <xf numFmtId="0" fontId="6" fillId="0" borderId="0" xfId="21" applyFont="1" applyAlignment="1">
      <alignment horizontal="left"/>
      <protection/>
    </xf>
    <xf numFmtId="0" fontId="8" fillId="0" borderId="0" xfId="21" applyNumberFormat="1" applyFont="1" applyAlignment="1">
      <alignment/>
      <protection locked="0"/>
    </xf>
    <xf numFmtId="0" fontId="13" fillId="0" borderId="0" xfId="21" applyNumberFormat="1" applyFont="1" applyAlignment="1">
      <alignment horizontal="center"/>
      <protection locked="0"/>
    </xf>
    <xf numFmtId="0" fontId="2" fillId="0" borderId="1" xfId="21" applyFont="1" applyBorder="1" applyAlignment="1">
      <alignment/>
      <protection/>
    </xf>
    <xf numFmtId="0" fontId="1" fillId="0" borderId="1" xfId="21" applyNumberFormat="1" applyFont="1" applyBorder="1" applyAlignment="1">
      <alignment/>
      <protection locked="0"/>
    </xf>
    <xf numFmtId="0" fontId="2" fillId="0" borderId="1" xfId="21" applyFont="1" applyBorder="1" applyAlignment="1">
      <alignment horizontal="right"/>
      <protection/>
    </xf>
    <xf numFmtId="0" fontId="16" fillId="0" borderId="1" xfId="21" applyNumberFormat="1" applyFont="1" applyBorder="1" applyAlignment="1">
      <alignment/>
      <protection locked="0"/>
    </xf>
    <xf numFmtId="1" fontId="2" fillId="0" borderId="1" xfId="21" applyNumberFormat="1" applyFont="1" applyBorder="1" applyAlignment="1">
      <alignment horizontal="left"/>
      <protection/>
    </xf>
    <xf numFmtId="1" fontId="2" fillId="0" borderId="1" xfId="21" applyNumberFormat="1" applyFont="1" applyBorder="1" applyAlignment="1">
      <alignment horizontal="center"/>
      <protection/>
    </xf>
    <xf numFmtId="1" fontId="2" fillId="0" borderId="1" xfId="21" applyNumberFormat="1" applyFont="1" applyBorder="1" applyAlignment="1">
      <alignment horizontal="right"/>
      <protection/>
    </xf>
    <xf numFmtId="2" fontId="6" fillId="2" borderId="1" xfId="21" applyNumberFormat="1" applyFont="1" applyFill="1" applyBorder="1" applyAlignment="1">
      <alignment/>
      <protection/>
    </xf>
    <xf numFmtId="2" fontId="6" fillId="0" borderId="1" xfId="21" applyNumberFormat="1" applyFont="1" applyBorder="1" applyAlignment="1">
      <alignment/>
      <protection/>
    </xf>
    <xf numFmtId="0" fontId="1" fillId="0" borderId="1" xfId="21" applyNumberFormat="1" applyFont="1" applyBorder="1" applyAlignment="1">
      <alignment horizontal="center"/>
      <protection locked="0"/>
    </xf>
    <xf numFmtId="0" fontId="2" fillId="0" borderId="1" xfId="21" applyFont="1" applyBorder="1" applyAlignment="1">
      <alignment horizontal="center"/>
      <protection/>
    </xf>
    <xf numFmtId="178" fontId="2" fillId="0" borderId="1" xfId="21" applyNumberFormat="1" applyFont="1" applyBorder="1" applyAlignment="1">
      <alignment horizontal="center"/>
      <protection/>
    </xf>
    <xf numFmtId="2" fontId="2" fillId="0" borderId="1" xfId="21" applyNumberFormat="1" applyFont="1" applyBorder="1" applyAlignment="1">
      <alignment horizontal="right"/>
      <protection/>
    </xf>
    <xf numFmtId="2" fontId="2" fillId="0" borderId="1" xfId="21" applyNumberFormat="1" applyFont="1" applyBorder="1" applyAlignment="1">
      <alignment horizontal="right"/>
      <protection/>
    </xf>
    <xf numFmtId="2" fontId="2" fillId="0" borderId="1" xfId="21" applyNumberFormat="1" applyFont="1" applyBorder="1" applyAlignment="1">
      <alignment/>
      <protection/>
    </xf>
    <xf numFmtId="2" fontId="2" fillId="0" borderId="1" xfId="21" applyNumberFormat="1" applyFont="1" applyBorder="1" applyAlignment="1">
      <alignment horizontal="center"/>
      <protection/>
    </xf>
    <xf numFmtId="0" fontId="1" fillId="0" borderId="1" xfId="21" applyBorder="1" applyAlignment="1">
      <alignment horizontal="center"/>
      <protection/>
    </xf>
    <xf numFmtId="2" fontId="6" fillId="0" borderId="0" xfId="21" applyNumberFormat="1" applyFont="1" applyBorder="1" applyAlignment="1">
      <alignment/>
      <protection/>
    </xf>
    <xf numFmtId="2" fontId="11" fillId="0" borderId="0" xfId="21" applyNumberFormat="1" applyFont="1" applyBorder="1" applyAlignment="1">
      <alignment/>
      <protection/>
    </xf>
    <xf numFmtId="0" fontId="6" fillId="0" borderId="0" xfId="21" applyFont="1" applyBorder="1" applyAlignment="1">
      <alignment/>
      <protection/>
    </xf>
    <xf numFmtId="0" fontId="6" fillId="0" borderId="0" xfId="21" applyFont="1" applyBorder="1" applyAlignment="1">
      <alignment horizontal="center"/>
      <protection/>
    </xf>
    <xf numFmtId="2" fontId="15" fillId="0" borderId="0" xfId="21" applyNumberFormat="1" applyFont="1" applyBorder="1" applyAlignment="1">
      <alignment/>
      <protection/>
    </xf>
    <xf numFmtId="2" fontId="12" fillId="0" borderId="0" xfId="21" applyNumberFormat="1" applyFont="1" applyBorder="1" applyAlignment="1">
      <alignment/>
      <protection/>
    </xf>
    <xf numFmtId="2" fontId="2" fillId="0" borderId="0" xfId="21" applyNumberFormat="1" applyFont="1" applyFill="1" applyAlignment="1">
      <alignment/>
      <protection/>
    </xf>
    <xf numFmtId="0" fontId="1" fillId="0" borderId="0" xfId="21" applyNumberFormat="1" applyFont="1" applyFill="1" applyAlignment="1">
      <alignment/>
      <protection locked="0"/>
    </xf>
    <xf numFmtId="1" fontId="2" fillId="0" borderId="1" xfId="21" applyNumberFormat="1" applyFont="1" applyFill="1" applyBorder="1" applyAlignment="1">
      <alignment horizontal="center"/>
      <protection/>
    </xf>
    <xf numFmtId="2" fontId="2" fillId="0" borderId="1" xfId="21" applyNumberFormat="1" applyFont="1" applyFill="1" applyBorder="1" applyAlignment="1">
      <alignment horizontal="center"/>
      <protection/>
    </xf>
    <xf numFmtId="2" fontId="6" fillId="0" borderId="0" xfId="21" applyNumberFormat="1" applyFont="1" applyFill="1" applyAlignment="1">
      <alignment/>
      <protection/>
    </xf>
    <xf numFmtId="0" fontId="2" fillId="0" borderId="0" xfId="21" applyFont="1" applyFill="1" applyAlignment="1">
      <alignment/>
      <protection/>
    </xf>
    <xf numFmtId="0" fontId="1" fillId="0" borderId="0" xfId="21" applyNumberFormat="1" applyFont="1" applyBorder="1" applyAlignment="1">
      <alignment/>
      <protection locked="0"/>
    </xf>
    <xf numFmtId="0" fontId="2" fillId="0" borderId="0" xfId="21" applyFont="1" applyBorder="1" applyAlignment="1">
      <alignment horizontal="right"/>
      <protection/>
    </xf>
    <xf numFmtId="2" fontId="6" fillId="2" borderId="0" xfId="21" applyNumberFormat="1" applyFont="1" applyFill="1" applyBorder="1" applyAlignment="1">
      <alignment/>
      <protection/>
    </xf>
    <xf numFmtId="2" fontId="2" fillId="0" borderId="0" xfId="21" applyNumberFormat="1" applyFont="1" applyBorder="1" applyAlignment="1">
      <alignment horizontal="right"/>
      <protection/>
    </xf>
    <xf numFmtId="2" fontId="2" fillId="0" borderId="0" xfId="21" applyNumberFormat="1" applyFont="1" applyBorder="1" applyAlignment="1">
      <alignment horizontal="right"/>
      <protection/>
    </xf>
    <xf numFmtId="0" fontId="2" fillId="0" borderId="0" xfId="21" applyFont="1" applyBorder="1" applyAlignment="1">
      <alignment horizontal="center"/>
      <protection/>
    </xf>
    <xf numFmtId="2" fontId="2" fillId="0" borderId="0" xfId="21" applyNumberFormat="1" applyFont="1" applyBorder="1" applyAlignment="1">
      <alignment/>
      <protection/>
    </xf>
    <xf numFmtId="2" fontId="2" fillId="0" borderId="0" xfId="21" applyNumberFormat="1" applyFont="1" applyBorder="1" applyAlignment="1">
      <alignment horizontal="center"/>
      <protection/>
    </xf>
    <xf numFmtId="2" fontId="2" fillId="0" borderId="0" xfId="21" applyNumberFormat="1" applyFont="1" applyFill="1" applyBorder="1" applyAlignment="1">
      <alignment horizontal="center"/>
      <protection/>
    </xf>
    <xf numFmtId="2" fontId="2" fillId="0" borderId="0" xfId="21" applyNumberFormat="1" applyFont="1" applyBorder="1" applyAlignment="1">
      <alignment/>
      <protection/>
    </xf>
    <xf numFmtId="0" fontId="1" fillId="0" borderId="0" xfId="21" applyBorder="1" applyAlignment="1">
      <alignment horizontal="center"/>
      <protection/>
    </xf>
    <xf numFmtId="178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/>
      <protection/>
    </xf>
    <xf numFmtId="2" fontId="7" fillId="0" borderId="1" xfId="21" applyNumberFormat="1" applyFont="1" applyBorder="1" applyAlignment="1">
      <alignment/>
      <protection/>
    </xf>
    <xf numFmtId="2" fontId="8" fillId="0" borderId="1" xfId="21" applyNumberFormat="1" applyFont="1" applyBorder="1" applyAlignment="1">
      <alignment/>
      <protection/>
    </xf>
    <xf numFmtId="0" fontId="7" fillId="0" borderId="1" xfId="21" applyFont="1" applyBorder="1" applyAlignment="1">
      <alignment horizontal="center"/>
      <protection/>
    </xf>
    <xf numFmtId="2" fontId="14" fillId="0" borderId="1" xfId="21" applyNumberFormat="1" applyFont="1" applyBorder="1" applyAlignment="1">
      <alignment/>
      <protection/>
    </xf>
    <xf numFmtId="0" fontId="10" fillId="0" borderId="1" xfId="21" applyNumberFormat="1" applyFont="1" applyBorder="1" applyAlignment="1">
      <alignment horizontal="center"/>
      <protection/>
    </xf>
    <xf numFmtId="0" fontId="10" fillId="0" borderId="1" xfId="21" applyNumberFormat="1" applyFont="1" applyBorder="1" applyAlignment="1">
      <alignment/>
      <protection locked="0"/>
    </xf>
    <xf numFmtId="0" fontId="7" fillId="0" borderId="0" xfId="21" applyFont="1" applyAlignment="1">
      <alignment horizontal="left"/>
      <protection/>
    </xf>
    <xf numFmtId="0" fontId="1" fillId="0" borderId="0" xfId="21" applyNumberFormat="1" applyFont="1" applyFill="1" applyBorder="1" applyAlignment="1">
      <alignment/>
      <protection locked="0"/>
    </xf>
    <xf numFmtId="0" fontId="3" fillId="0" borderId="0" xfId="21" applyNumberFormat="1" applyFont="1" applyBorder="1" applyAlignment="1">
      <alignment/>
      <protection locked="0"/>
    </xf>
    <xf numFmtId="0" fontId="4" fillId="0" borderId="0" xfId="21" applyFont="1" applyBorder="1" applyAlignment="1">
      <alignment/>
      <protection/>
    </xf>
    <xf numFmtId="0" fontId="2" fillId="0" borderId="0" xfId="21" applyFont="1" applyFill="1" applyBorder="1" applyAlignment="1">
      <alignment horizontal="center"/>
      <protection/>
    </xf>
    <xf numFmtId="2" fontId="2" fillId="0" borderId="0" xfId="21" applyNumberFormat="1" applyFont="1" applyFill="1" applyBorder="1" applyAlignment="1">
      <alignment/>
      <protection/>
    </xf>
    <xf numFmtId="0" fontId="4" fillId="0" borderId="0" xfId="21" applyNumberFormat="1" applyFont="1" applyBorder="1" applyAlignment="1">
      <alignment/>
      <protection/>
    </xf>
    <xf numFmtId="0" fontId="2" fillId="0" borderId="0" xfId="21" applyFont="1" applyFill="1" applyBorder="1" applyAlignment="1">
      <alignment horizontal="left"/>
      <protection/>
    </xf>
    <xf numFmtId="2" fontId="4" fillId="0" borderId="0" xfId="21" applyNumberFormat="1" applyFont="1" applyBorder="1" applyAlignment="1">
      <alignment/>
      <protection/>
    </xf>
    <xf numFmtId="1" fontId="4" fillId="0" borderId="0" xfId="21" applyNumberFormat="1" applyFont="1" applyBorder="1" applyAlignment="1">
      <alignment/>
      <protection/>
    </xf>
    <xf numFmtId="1" fontId="5" fillId="0" borderId="0" xfId="21" applyNumberFormat="1" applyFont="1" applyBorder="1" applyAlignment="1">
      <alignment/>
      <protection/>
    </xf>
    <xf numFmtId="1" fontId="6" fillId="2" borderId="0" xfId="21" applyNumberFormat="1" applyFont="1" applyFill="1" applyBorder="1" applyAlignment="1">
      <alignment/>
      <protection/>
    </xf>
    <xf numFmtId="2" fontId="5" fillId="0" borderId="0" xfId="21" applyNumberFormat="1" applyFont="1" applyBorder="1" applyAlignment="1">
      <alignment/>
      <protection/>
    </xf>
    <xf numFmtId="0" fontId="1" fillId="0" borderId="0" xfId="21" applyNumberFormat="1" applyFont="1" applyBorder="1" applyAlignment="1">
      <alignment horizontal="right"/>
      <protection locked="0"/>
    </xf>
    <xf numFmtId="0" fontId="1" fillId="0" borderId="0" xfId="21" applyNumberFormat="1" applyFont="1" applyBorder="1" applyAlignment="1">
      <alignment/>
      <protection locked="0"/>
    </xf>
    <xf numFmtId="0" fontId="2" fillId="0" borderId="2" xfId="21" applyFont="1" applyBorder="1" applyAlignment="1">
      <alignment horizontal="center"/>
      <protection/>
    </xf>
    <xf numFmtId="0" fontId="2" fillId="0" borderId="3" xfId="21" applyFont="1" applyBorder="1" applyAlignment="1">
      <alignment horizontal="center"/>
      <protection/>
    </xf>
    <xf numFmtId="2" fontId="7" fillId="0" borderId="0" xfId="21" applyNumberFormat="1" applyFont="1" applyBorder="1" applyAlignment="1">
      <alignment/>
      <protection/>
    </xf>
    <xf numFmtId="2" fontId="14" fillId="0" borderId="0" xfId="21" applyNumberFormat="1" applyFont="1" applyBorder="1" applyAlignment="1">
      <alignment/>
      <protection/>
    </xf>
    <xf numFmtId="2" fontId="13" fillId="0" borderId="2" xfId="21" applyNumberFormat="1" applyFont="1" applyBorder="1" applyAlignment="1">
      <alignment horizontal="center"/>
      <protection/>
    </xf>
    <xf numFmtId="2" fontId="8" fillId="0" borderId="0" xfId="21" applyNumberFormat="1" applyFont="1" applyBorder="1" applyAlignment="1">
      <alignment/>
      <protection/>
    </xf>
    <xf numFmtId="0" fontId="7" fillId="0" borderId="0" xfId="21" applyFont="1" applyBorder="1" applyAlignment="1">
      <alignment horizontal="center"/>
      <protection/>
    </xf>
    <xf numFmtId="2" fontId="9" fillId="0" borderId="0" xfId="21" applyNumberFormat="1" applyFont="1" applyBorder="1" applyAlignment="1">
      <alignment/>
      <protection/>
    </xf>
    <xf numFmtId="2" fontId="10" fillId="0" borderId="2" xfId="21" applyNumberFormat="1" applyFont="1" applyBorder="1" applyAlignment="1">
      <alignment horizontal="center"/>
      <protection/>
    </xf>
    <xf numFmtId="2" fontId="10" fillId="0" borderId="3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left"/>
      <protection/>
    </xf>
    <xf numFmtId="0" fontId="2" fillId="0" borderId="4" xfId="21" applyFont="1" applyBorder="1" applyAlignment="1">
      <alignment horizontal="center"/>
      <protection/>
    </xf>
    <xf numFmtId="1" fontId="7" fillId="0" borderId="0" xfId="21" applyNumberFormat="1" applyFont="1" applyBorder="1" applyAlignment="1">
      <alignment horizontal="center"/>
      <protection/>
    </xf>
    <xf numFmtId="1" fontId="6" fillId="0" borderId="0" xfId="21" applyNumberFormat="1" applyFont="1" applyBorder="1" applyAlignment="1">
      <alignment horizontal="center"/>
      <protection/>
    </xf>
    <xf numFmtId="1" fontId="7" fillId="0" borderId="1" xfId="21" applyNumberFormat="1" applyFont="1" applyBorder="1" applyAlignment="1">
      <alignment horizontal="center"/>
      <protection/>
    </xf>
    <xf numFmtId="2" fontId="6" fillId="0" borderId="5" xfId="21" applyNumberFormat="1" applyFont="1" applyBorder="1" applyAlignment="1">
      <alignment/>
      <protection/>
    </xf>
    <xf numFmtId="181" fontId="6" fillId="0" borderId="5" xfId="21" applyNumberFormat="1" applyFont="1" applyBorder="1" applyAlignment="1">
      <alignment horizontal="center"/>
      <protection/>
    </xf>
    <xf numFmtId="2" fontId="11" fillId="0" borderId="5" xfId="21" applyNumberFormat="1" applyFont="1" applyBorder="1" applyAlignment="1">
      <alignment/>
      <protection/>
    </xf>
    <xf numFmtId="0" fontId="6" fillId="0" borderId="5" xfId="21" applyFont="1" applyBorder="1" applyAlignment="1">
      <alignment/>
      <protection/>
    </xf>
    <xf numFmtId="0" fontId="6" fillId="0" borderId="5" xfId="21" applyFont="1" applyBorder="1" applyAlignment="1">
      <alignment horizontal="center"/>
      <protection/>
    </xf>
    <xf numFmtId="2" fontId="12" fillId="0" borderId="5" xfId="21" applyNumberFormat="1" applyFont="1" applyBorder="1" applyAlignment="1">
      <alignment/>
      <protection/>
    </xf>
    <xf numFmtId="2" fontId="13" fillId="0" borderId="6" xfId="21" applyNumberFormat="1" applyFont="1" applyBorder="1" applyAlignment="1">
      <alignment horizontal="center"/>
      <protection/>
    </xf>
    <xf numFmtId="0" fontId="13" fillId="0" borderId="5" xfId="21" applyNumberFormat="1" applyFont="1" applyBorder="1" applyAlignment="1">
      <alignment/>
      <protection locked="0"/>
    </xf>
    <xf numFmtId="2" fontId="13" fillId="0" borderId="0" xfId="21" applyNumberFormat="1" applyFont="1" applyBorder="1" applyAlignment="1">
      <alignment/>
      <protection locked="0"/>
    </xf>
    <xf numFmtId="0" fontId="4" fillId="0" borderId="0" xfId="21" applyFont="1" applyBorder="1" applyAlignment="1">
      <alignment horizontal="right"/>
      <protection/>
    </xf>
    <xf numFmtId="183" fontId="4" fillId="0" borderId="0" xfId="21" applyNumberFormat="1" applyFont="1" applyBorder="1" applyAlignment="1">
      <alignment/>
      <protection/>
    </xf>
    <xf numFmtId="0" fontId="4" fillId="0" borderId="0" xfId="21" applyFont="1" applyBorder="1" applyAlignment="1">
      <alignment horizontal="right"/>
      <protection/>
    </xf>
    <xf numFmtId="0" fontId="1" fillId="0" borderId="0" xfId="21" applyNumberFormat="1" applyFont="1" applyBorder="1" applyAlignment="1">
      <alignment horizontal="center"/>
      <protection locked="0"/>
    </xf>
    <xf numFmtId="0" fontId="2" fillId="0" borderId="7" xfId="21" applyFont="1" applyBorder="1" applyAlignment="1">
      <alignment horizontal="center"/>
      <protection/>
    </xf>
    <xf numFmtId="0" fontId="1" fillId="0" borderId="8" xfId="21" applyNumberFormat="1" applyFont="1" applyBorder="1" applyAlignment="1">
      <alignment horizontal="center"/>
      <protection locked="0"/>
    </xf>
    <xf numFmtId="179" fontId="6" fillId="0" borderId="9" xfId="21" applyNumberFormat="1" applyFont="1" applyBorder="1" applyAlignment="1">
      <alignment horizontal="center"/>
      <protection/>
    </xf>
    <xf numFmtId="2" fontId="7" fillId="0" borderId="10" xfId="21" applyNumberFormat="1" applyFont="1" applyBorder="1" applyAlignment="1">
      <alignment horizontal="center"/>
      <protection/>
    </xf>
    <xf numFmtId="2" fontId="6" fillId="0" borderId="10" xfId="21" applyNumberFormat="1" applyFont="1" applyBorder="1" applyAlignment="1">
      <alignment horizontal="center"/>
      <protection/>
    </xf>
    <xf numFmtId="2" fontId="7" fillId="0" borderId="8" xfId="21" applyNumberFormat="1" applyFont="1" applyBorder="1" applyAlignment="1">
      <alignment horizontal="center"/>
      <protection/>
    </xf>
    <xf numFmtId="183" fontId="4" fillId="0" borderId="0" xfId="21" applyNumberFormat="1" applyFont="1" applyFill="1" applyBorder="1" applyAlignment="1">
      <alignment/>
      <protection/>
    </xf>
    <xf numFmtId="0" fontId="6" fillId="0" borderId="11" xfId="21" applyFont="1" applyBorder="1" applyAlignment="1">
      <alignment horizontal="left"/>
      <protection/>
    </xf>
    <xf numFmtId="0" fontId="13" fillId="0" borderId="5" xfId="21" applyNumberFormat="1" applyFont="1" applyBorder="1" applyAlignment="1">
      <alignment horizontal="center"/>
      <protection locked="0"/>
    </xf>
    <xf numFmtId="2" fontId="6" fillId="0" borderId="5" xfId="21" applyNumberFormat="1" applyFont="1" applyBorder="1" applyAlignment="1">
      <alignment horizontal="center"/>
      <protection/>
    </xf>
    <xf numFmtId="0" fontId="13" fillId="0" borderId="0" xfId="21" applyNumberFormat="1" applyFont="1" applyBorder="1" applyAlignment="1">
      <alignment/>
      <protection locked="0"/>
    </xf>
    <xf numFmtId="2" fontId="7" fillId="0" borderId="0" xfId="21" applyNumberFormat="1" applyFont="1" applyBorder="1" applyAlignment="1">
      <alignment horizontal="center"/>
      <protection/>
    </xf>
    <xf numFmtId="2" fontId="6" fillId="0" borderId="0" xfId="21" applyNumberFormat="1" applyFont="1" applyBorder="1" applyAlignment="1">
      <alignment horizontal="center"/>
      <protection/>
    </xf>
    <xf numFmtId="2" fontId="7" fillId="0" borderId="1" xfId="21" applyNumberFormat="1" applyFont="1" applyBorder="1" applyAlignment="1">
      <alignment horizontal="center"/>
      <protection/>
    </xf>
    <xf numFmtId="2" fontId="4" fillId="0" borderId="0" xfId="21" applyNumberFormat="1" applyFont="1" applyBorder="1" applyAlignment="1">
      <alignment/>
      <protection/>
    </xf>
    <xf numFmtId="0" fontId="6" fillId="0" borderId="5" xfId="21" applyFont="1" applyBorder="1" applyAlignment="1">
      <alignment horizontal="right"/>
      <protection/>
    </xf>
    <xf numFmtId="0" fontId="22" fillId="0" borderId="1" xfId="21" applyNumberFormat="1" applyFont="1" applyBorder="1" applyAlignment="1">
      <alignment/>
      <protection locked="0"/>
    </xf>
    <xf numFmtId="0" fontId="22" fillId="0" borderId="1" xfId="21" applyFont="1" applyBorder="1" applyAlignment="1">
      <alignment/>
      <protection/>
    </xf>
    <xf numFmtId="2" fontId="23" fillId="0" borderId="5" xfId="21" applyNumberFormat="1" applyFont="1" applyBorder="1" applyAlignment="1">
      <alignment/>
      <protection/>
    </xf>
    <xf numFmtId="0" fontId="23" fillId="0" borderId="5" xfId="21" applyFont="1" applyBorder="1" applyAlignment="1">
      <alignment/>
      <protection/>
    </xf>
    <xf numFmtId="2" fontId="23" fillId="0" borderId="0" xfId="21" applyNumberFormat="1" applyFont="1" applyAlignment="1">
      <alignment/>
      <protection/>
    </xf>
    <xf numFmtId="2" fontId="23" fillId="0" borderId="0" xfId="21" applyNumberFormat="1" applyFont="1" applyAlignment="1">
      <alignment/>
      <protection locked="0"/>
    </xf>
    <xf numFmtId="0" fontId="6" fillId="0" borderId="0" xfId="21" applyNumberFormat="1" applyFont="1" applyBorder="1" applyAlignment="1">
      <alignment/>
      <protection/>
    </xf>
    <xf numFmtId="1" fontId="6" fillId="0" borderId="0" xfId="21" applyNumberFormat="1" applyFont="1" applyBorder="1" applyAlignment="1">
      <alignment/>
      <protection/>
    </xf>
    <xf numFmtId="1" fontId="6" fillId="0" borderId="5" xfId="21" applyNumberFormat="1" applyFont="1" applyBorder="1" applyAlignment="1">
      <alignment horizontal="center"/>
      <protection/>
    </xf>
    <xf numFmtId="0" fontId="6" fillId="0" borderId="0" xfId="21" applyNumberFormat="1" applyFont="1" applyAlignment="1">
      <alignment/>
      <protection/>
    </xf>
    <xf numFmtId="3" fontId="7" fillId="0" borderId="0" xfId="21" applyNumberFormat="1" applyFont="1" applyBorder="1" applyAlignment="1">
      <alignment horizontal="center"/>
      <protection/>
    </xf>
    <xf numFmtId="3" fontId="6" fillId="0" borderId="0" xfId="21" applyNumberFormat="1" applyFont="1" applyBorder="1" applyAlignment="1">
      <alignment horizontal="center"/>
      <protection/>
    </xf>
    <xf numFmtId="3" fontId="7" fillId="0" borderId="1" xfId="21" applyNumberFormat="1" applyFont="1" applyBorder="1" applyAlignment="1">
      <alignment horizontal="center"/>
      <protection/>
    </xf>
    <xf numFmtId="3" fontId="4" fillId="0" borderId="0" xfId="21" applyNumberFormat="1" applyFont="1" applyBorder="1" applyAlignment="1">
      <alignment/>
      <protection/>
    </xf>
    <xf numFmtId="0" fontId="22" fillId="0" borderId="0" xfId="21" applyFont="1" applyBorder="1" applyAlignment="1">
      <alignment/>
      <protection/>
    </xf>
    <xf numFmtId="1" fontId="2" fillId="0" borderId="0" xfId="21" applyNumberFormat="1" applyFont="1" applyBorder="1" applyAlignment="1">
      <alignment/>
      <protection/>
    </xf>
    <xf numFmtId="3" fontId="4" fillId="0" borderId="0" xfId="21" applyNumberFormat="1" applyFont="1" applyBorder="1" applyAlignment="1">
      <alignment horizontal="right"/>
      <protection/>
    </xf>
    <xf numFmtId="183" fontId="2" fillId="0" borderId="0" xfId="21" applyNumberFormat="1" applyFont="1" applyBorder="1" applyAlignment="1">
      <alignment/>
      <protection/>
    </xf>
    <xf numFmtId="2" fontId="15" fillId="0" borderId="5" xfId="21" applyNumberFormat="1" applyFont="1" applyBorder="1" applyAlignment="1">
      <alignment/>
      <protection/>
    </xf>
    <xf numFmtId="0" fontId="24" fillId="0" borderId="0" xfId="21" applyFont="1" applyBorder="1" applyAlignment="1">
      <alignment/>
      <protection/>
    </xf>
    <xf numFmtId="0" fontId="24" fillId="0" borderId="0" xfId="21" applyFont="1" applyAlignment="1">
      <alignment horizontal="center"/>
      <protection/>
    </xf>
    <xf numFmtId="0" fontId="24" fillId="0" borderId="1" xfId="21" applyFont="1" applyBorder="1" applyAlignment="1">
      <alignment horizontal="center"/>
      <protection/>
    </xf>
    <xf numFmtId="2" fontId="25" fillId="0" borderId="0" xfId="21" applyNumberFormat="1" applyFont="1" applyAlignment="1">
      <alignment/>
      <protection/>
    </xf>
    <xf numFmtId="2" fontId="26" fillId="0" borderId="0" xfId="21" applyNumberFormat="1" applyFont="1" applyAlignment="1">
      <alignment/>
      <protection/>
    </xf>
    <xf numFmtId="2" fontId="25" fillId="0" borderId="1" xfId="21" applyNumberFormat="1" applyFont="1" applyBorder="1" applyAlignment="1">
      <alignment/>
      <protection/>
    </xf>
    <xf numFmtId="0" fontId="26" fillId="0" borderId="0" xfId="21" applyFont="1" applyBorder="1" applyAlignment="1">
      <alignment/>
      <protection/>
    </xf>
    <xf numFmtId="0" fontId="24" fillId="0" borderId="0" xfId="21" applyFont="1" applyAlignment="1">
      <alignment/>
      <protection/>
    </xf>
    <xf numFmtId="0" fontId="24" fillId="0" borderId="0" xfId="21" applyNumberFormat="1" applyFont="1" applyAlignment="1">
      <alignment/>
      <protection locked="0"/>
    </xf>
    <xf numFmtId="0" fontId="26" fillId="0" borderId="0" xfId="21" applyNumberFormat="1" applyFont="1" applyAlignment="1">
      <alignment/>
      <protection locked="0"/>
    </xf>
    <xf numFmtId="2" fontId="18" fillId="0" borderId="0" xfId="20" applyNumberFormat="1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21" applyFont="1" applyBorder="1" applyAlignment="1">
      <alignment horizontal="right"/>
      <protection/>
    </xf>
    <xf numFmtId="2" fontId="6" fillId="0" borderId="0" xfId="21" applyNumberFormat="1" applyFont="1" applyBorder="1" applyAlignment="1">
      <alignment horizontal="right"/>
      <protection/>
    </xf>
    <xf numFmtId="0" fontId="13" fillId="0" borderId="0" xfId="0" applyFont="1" applyAlignment="1">
      <alignment/>
    </xf>
    <xf numFmtId="1" fontId="7" fillId="0" borderId="12" xfId="21" applyNumberFormat="1" applyFont="1" applyBorder="1" applyAlignment="1">
      <alignment horizontal="center"/>
      <protection/>
    </xf>
    <xf numFmtId="0" fontId="24" fillId="0" borderId="0" xfId="21" applyNumberFormat="1" applyFont="1" applyBorder="1" applyAlignment="1">
      <alignment horizontal="right"/>
      <protection/>
    </xf>
    <xf numFmtId="0" fontId="26" fillId="0" borderId="0" xfId="21" applyNumberFormat="1" applyFont="1" applyFill="1" applyBorder="1" applyAlignment="1">
      <alignment/>
      <protection/>
    </xf>
    <xf numFmtId="0" fontId="24" fillId="0" borderId="0" xfId="21" applyNumberFormat="1" applyFont="1" applyBorder="1" applyAlignment="1">
      <alignment/>
      <protection/>
    </xf>
    <xf numFmtId="0" fontId="26" fillId="0" borderId="0" xfId="21" applyNumberFormat="1" applyFont="1" applyBorder="1" applyAlignment="1">
      <alignment/>
      <protection/>
    </xf>
    <xf numFmtId="0" fontId="25" fillId="0" borderId="0" xfId="21" applyNumberFormat="1" applyFont="1" applyBorder="1" applyAlignment="1">
      <alignment/>
      <protection/>
    </xf>
    <xf numFmtId="0" fontId="24" fillId="0" borderId="0" xfId="21" applyNumberFormat="1" applyFont="1" applyBorder="1" applyAlignment="1">
      <alignment horizontal="right"/>
      <protection locked="0"/>
    </xf>
    <xf numFmtId="0" fontId="24" fillId="0" borderId="0" xfId="21" applyNumberFormat="1" applyFont="1" applyBorder="1" applyAlignment="1">
      <alignment/>
      <protection locked="0"/>
    </xf>
    <xf numFmtId="0" fontId="24" fillId="0" borderId="0" xfId="21" applyFont="1" applyBorder="1" applyAlignment="1">
      <alignment horizontal="right"/>
      <protection/>
    </xf>
    <xf numFmtId="0" fontId="24" fillId="0" borderId="1" xfId="21" applyFont="1" applyBorder="1" applyAlignment="1">
      <alignment horizontal="right"/>
      <protection/>
    </xf>
    <xf numFmtId="2" fontId="26" fillId="0" borderId="5" xfId="21" applyNumberFormat="1" applyFont="1" applyBorder="1" applyAlignment="1">
      <alignment/>
      <protection/>
    </xf>
    <xf numFmtId="2" fontId="25" fillId="0" borderId="0" xfId="21" applyNumberFormat="1" applyFont="1" applyAlignment="1">
      <alignment horizontal="right"/>
      <protection/>
    </xf>
    <xf numFmtId="2" fontId="26" fillId="0" borderId="0" xfId="21" applyNumberFormat="1" applyFont="1" applyAlignment="1">
      <alignment horizontal="right"/>
      <protection/>
    </xf>
    <xf numFmtId="2" fontId="26" fillId="0" borderId="1" xfId="21" applyNumberFormat="1" applyFont="1" applyBorder="1" applyAlignment="1">
      <alignment/>
      <protection/>
    </xf>
    <xf numFmtId="2" fontId="25" fillId="0" borderId="1" xfId="21" applyNumberFormat="1" applyFont="1" applyBorder="1" applyAlignment="1">
      <alignment horizontal="right"/>
      <protection/>
    </xf>
    <xf numFmtId="0" fontId="26" fillId="0" borderId="0" xfId="21" applyNumberFormat="1" applyFont="1" applyBorder="1" applyAlignment="1">
      <alignment horizontal="right"/>
      <protection/>
    </xf>
    <xf numFmtId="0" fontId="24" fillId="0" borderId="1" xfId="21" applyNumberFormat="1" applyFont="1" applyBorder="1" applyAlignment="1">
      <alignment horizontal="right"/>
      <protection/>
    </xf>
    <xf numFmtId="2" fontId="26" fillId="0" borderId="1" xfId="21" applyNumberFormat="1" applyFont="1" applyBorder="1" applyAlignment="1">
      <alignment horizontal="right"/>
      <protection/>
    </xf>
    <xf numFmtId="2" fontId="28" fillId="0" borderId="0" xfId="21" applyNumberFormat="1" applyFont="1" applyAlignment="1">
      <alignment/>
      <protection/>
    </xf>
    <xf numFmtId="2" fontId="28" fillId="0" borderId="0" xfId="21" applyNumberFormat="1" applyFont="1" applyAlignment="1">
      <alignment/>
      <protection locked="0"/>
    </xf>
    <xf numFmtId="0" fontId="28" fillId="0" borderId="0" xfId="21" applyFont="1" applyAlignment="1">
      <alignment/>
      <protection/>
    </xf>
    <xf numFmtId="2" fontId="28" fillId="0" borderId="1" xfId="21" applyNumberFormat="1" applyFont="1" applyBorder="1" applyAlignment="1">
      <alignment/>
      <protection/>
    </xf>
    <xf numFmtId="2" fontId="28" fillId="0" borderId="1" xfId="21" applyNumberFormat="1" applyFont="1" applyBorder="1" applyAlignment="1">
      <alignment/>
      <protection locked="0"/>
    </xf>
    <xf numFmtId="2" fontId="26" fillId="0" borderId="1" xfId="21" applyNumberFormat="1" applyFont="1" applyBorder="1" applyAlignment="1">
      <alignment/>
      <protection locked="0"/>
    </xf>
    <xf numFmtId="2" fontId="26" fillId="0" borderId="5" xfId="21" applyNumberFormat="1" applyFont="1" applyBorder="1" applyAlignment="1">
      <alignment/>
      <protection locked="0"/>
    </xf>
    <xf numFmtId="2" fontId="25" fillId="0" borderId="1" xfId="21" applyNumberFormat="1" applyFont="1" applyBorder="1" applyAlignment="1">
      <alignment/>
      <protection locked="0"/>
    </xf>
    <xf numFmtId="2" fontId="25" fillId="0" borderId="0" xfId="21" applyNumberFormat="1" applyFont="1" applyBorder="1" applyAlignment="1">
      <alignment/>
      <protection locked="0"/>
    </xf>
    <xf numFmtId="2" fontId="25" fillId="0" borderId="12" xfId="21" applyNumberFormat="1" applyFont="1" applyBorder="1" applyAlignment="1">
      <alignment/>
      <protection locked="0"/>
    </xf>
    <xf numFmtId="2" fontId="26" fillId="0" borderId="0" xfId="21" applyNumberFormat="1" applyFont="1" applyBorder="1" applyAlignment="1">
      <alignment/>
      <protection locked="0"/>
    </xf>
    <xf numFmtId="2" fontId="10" fillId="0" borderId="12" xfId="21" applyNumberFormat="1" applyFont="1" applyFill="1" applyBorder="1" applyAlignment="1">
      <alignment horizontal="center"/>
      <protection/>
    </xf>
    <xf numFmtId="2" fontId="10" fillId="0" borderId="1" xfId="21" applyNumberFormat="1" applyFont="1" applyFill="1" applyBorder="1" applyAlignment="1">
      <alignment horizontal="center"/>
      <protection/>
    </xf>
    <xf numFmtId="2" fontId="10" fillId="0" borderId="0" xfId="21" applyNumberFormat="1" applyFont="1" applyFill="1" applyBorder="1" applyAlignment="1">
      <alignment horizontal="center"/>
      <protection/>
    </xf>
    <xf numFmtId="2" fontId="13" fillId="0" borderId="0" xfId="21" applyNumberFormat="1" applyFont="1" applyFill="1" applyBorder="1" applyAlignment="1">
      <alignment horizontal="center"/>
      <protection/>
    </xf>
    <xf numFmtId="185" fontId="28" fillId="0" borderId="0" xfId="21" applyNumberFormat="1" applyFont="1" applyAlignment="1">
      <alignment/>
      <protection/>
    </xf>
    <xf numFmtId="185" fontId="23" fillId="0" borderId="0" xfId="21" applyNumberFormat="1" applyFont="1" applyAlignment="1">
      <alignment/>
      <protection/>
    </xf>
    <xf numFmtId="185" fontId="28" fillId="0" borderId="1" xfId="21" applyNumberFormat="1" applyFont="1" applyBorder="1" applyAlignment="1">
      <alignment/>
      <protection/>
    </xf>
    <xf numFmtId="185" fontId="23" fillId="0" borderId="0" xfId="21" applyNumberFormat="1" applyFont="1" applyBorder="1" applyAlignment="1">
      <alignment/>
      <protection/>
    </xf>
    <xf numFmtId="0" fontId="1" fillId="0" borderId="0" xfId="21" applyNumberFormat="1" applyFont="1" applyBorder="1" applyAlignment="1">
      <alignment horizontal="right"/>
      <protection locked="0"/>
    </xf>
    <xf numFmtId="2" fontId="13" fillId="0" borderId="5" xfId="21" applyNumberFormat="1" applyFont="1" applyFill="1" applyBorder="1" applyAlignment="1">
      <alignment horizontal="center"/>
      <protection/>
    </xf>
    <xf numFmtId="0" fontId="7" fillId="0" borderId="1" xfId="21" applyNumberFormat="1" applyFont="1" applyBorder="1" applyAlignment="1">
      <alignment horizontal="center"/>
      <protection/>
    </xf>
    <xf numFmtId="2" fontId="26" fillId="0" borderId="0" xfId="21" applyNumberFormat="1" applyFont="1" applyBorder="1" applyAlignment="1">
      <alignment/>
      <protection/>
    </xf>
    <xf numFmtId="2" fontId="25" fillId="0" borderId="12" xfId="21" applyNumberFormat="1" applyFont="1" applyBorder="1" applyAlignment="1">
      <alignment/>
      <protection/>
    </xf>
    <xf numFmtId="2" fontId="25" fillId="0" borderId="0" xfId="21" applyNumberFormat="1" applyFont="1" applyBorder="1" applyAlignment="1">
      <alignment/>
      <protection/>
    </xf>
    <xf numFmtId="0" fontId="13" fillId="0" borderId="0" xfId="0" applyFont="1" applyBorder="1" applyAlignment="1">
      <alignment/>
    </xf>
    <xf numFmtId="15" fontId="13" fillId="0" borderId="0" xfId="0" applyNumberFormat="1" applyFont="1" applyBorder="1" applyAlignment="1">
      <alignment/>
    </xf>
    <xf numFmtId="183" fontId="4" fillId="0" borderId="0" xfId="21" applyNumberFormat="1" applyFont="1" applyBorder="1" applyAlignment="1">
      <alignment/>
      <protection/>
    </xf>
    <xf numFmtId="0" fontId="18" fillId="0" borderId="0" xfId="20" applyFont="1" applyAlignment="1">
      <alignment/>
    </xf>
    <xf numFmtId="179" fontId="4" fillId="0" borderId="0" xfId="21" applyNumberFormat="1" applyFont="1" applyBorder="1" applyAlignment="1">
      <alignment/>
      <protection/>
    </xf>
    <xf numFmtId="0" fontId="7" fillId="0" borderId="12" xfId="21" applyFont="1" applyBorder="1" applyAlignment="1">
      <alignment horizontal="left"/>
      <protection/>
    </xf>
    <xf numFmtId="0" fontId="6" fillId="0" borderId="12" xfId="21" applyFont="1" applyBorder="1" applyAlignment="1">
      <alignment/>
      <protection/>
    </xf>
    <xf numFmtId="2" fontId="6" fillId="0" borderId="12" xfId="21" applyNumberFormat="1" applyFont="1" applyBorder="1" applyAlignment="1">
      <alignment horizontal="center"/>
      <protection/>
    </xf>
    <xf numFmtId="0" fontId="13" fillId="0" borderId="12" xfId="21" applyNumberFormat="1" applyFont="1" applyBorder="1" applyAlignment="1">
      <alignment horizontal="center"/>
      <protection locked="0"/>
    </xf>
    <xf numFmtId="0" fontId="13" fillId="0" borderId="12" xfId="21" applyNumberFormat="1" applyFont="1" applyBorder="1" applyAlignment="1">
      <alignment/>
      <protection locked="0"/>
    </xf>
    <xf numFmtId="0" fontId="6" fillId="0" borderId="0" xfId="21" applyFont="1" applyBorder="1" applyAlignment="1">
      <alignment horizontal="left"/>
      <protection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2" fontId="6" fillId="0" borderId="12" xfId="21" applyNumberFormat="1" applyFont="1" applyBorder="1" applyAlignment="1">
      <alignment/>
      <protection/>
    </xf>
    <xf numFmtId="15" fontId="6" fillId="0" borderId="4" xfId="21" applyNumberFormat="1" applyFont="1" applyBorder="1" applyAlignment="1">
      <alignment horizontal="center"/>
      <protection/>
    </xf>
    <xf numFmtId="0" fontId="6" fillId="0" borderId="1" xfId="21" applyFont="1" applyBorder="1" applyAlignment="1">
      <alignment horizontal="center"/>
      <protection/>
    </xf>
    <xf numFmtId="0" fontId="6" fillId="0" borderId="3" xfId="21" applyFont="1" applyBorder="1" applyAlignment="1">
      <alignment horizontal="center"/>
      <protection/>
    </xf>
    <xf numFmtId="2" fontId="6" fillId="0" borderId="12" xfId="21" applyNumberFormat="1" applyFont="1" applyBorder="1" applyAlignment="1">
      <alignment horizontal="right"/>
      <protection/>
    </xf>
    <xf numFmtId="0" fontId="3" fillId="0" borderId="1" xfId="21" applyNumberFormat="1" applyFont="1" applyBorder="1" applyAlignment="1">
      <alignment/>
      <protection locked="0"/>
    </xf>
    <xf numFmtId="2" fontId="23" fillId="0" borderId="0" xfId="21" applyNumberFormat="1" applyFont="1" applyBorder="1" applyAlignment="1">
      <alignment/>
      <protection/>
    </xf>
    <xf numFmtId="2" fontId="23" fillId="0" borderId="0" xfId="21" applyNumberFormat="1" applyFont="1" applyBorder="1" applyAlignment="1">
      <alignment/>
      <protection locked="0"/>
    </xf>
    <xf numFmtId="2" fontId="26" fillId="0" borderId="0" xfId="21" applyNumberFormat="1" applyFont="1" applyBorder="1" applyAlignment="1">
      <alignment horizontal="right"/>
      <protection/>
    </xf>
    <xf numFmtId="2" fontId="28" fillId="0" borderId="0" xfId="21" applyNumberFormat="1" applyFont="1" applyBorder="1" applyAlignment="1">
      <alignment/>
      <protection/>
    </xf>
    <xf numFmtId="2" fontId="28" fillId="0" borderId="0" xfId="21" applyNumberFormat="1" applyFont="1" applyBorder="1" applyAlignment="1">
      <alignment/>
      <protection locked="0"/>
    </xf>
    <xf numFmtId="185" fontId="28" fillId="0" borderId="0" xfId="21" applyNumberFormat="1" applyFont="1" applyBorder="1" applyAlignment="1">
      <alignment/>
      <protection/>
    </xf>
    <xf numFmtId="2" fontId="25" fillId="0" borderId="0" xfId="21" applyNumberFormat="1" applyFont="1" applyBorder="1" applyAlignment="1">
      <alignment horizontal="right"/>
      <protection/>
    </xf>
    <xf numFmtId="0" fontId="2" fillId="0" borderId="2" xfId="21" applyFont="1" applyBorder="1" applyAlignment="1">
      <alignment horizontal="center"/>
      <protection/>
    </xf>
    <xf numFmtId="0" fontId="6" fillId="0" borderId="0" xfId="21" applyNumberFormat="1" applyFont="1" applyAlignment="1">
      <alignment horizontal="center"/>
      <protection/>
    </xf>
    <xf numFmtId="185" fontId="6" fillId="0" borderId="0" xfId="21" applyNumberFormat="1" applyFont="1" applyAlignment="1">
      <alignment horizontal="center"/>
      <protection/>
    </xf>
    <xf numFmtId="0" fontId="1" fillId="0" borderId="0" xfId="21" applyNumberFormat="1" applyFont="1" applyBorder="1" applyAlignment="1">
      <alignment/>
      <protection/>
    </xf>
    <xf numFmtId="0" fontId="10" fillId="0" borderId="0" xfId="21" applyNumberFormat="1" applyFont="1" applyBorder="1" applyAlignment="1">
      <alignment/>
      <protection locked="0"/>
    </xf>
    <xf numFmtId="0" fontId="1" fillId="0" borderId="2" xfId="21" applyNumberFormat="1" applyFont="1" applyBorder="1" applyAlignment="1">
      <alignment/>
      <protection locked="0"/>
    </xf>
    <xf numFmtId="1" fontId="2" fillId="0" borderId="3" xfId="21" applyNumberFormat="1" applyFont="1" applyBorder="1" applyAlignment="1">
      <alignment/>
      <protection/>
    </xf>
    <xf numFmtId="0" fontId="13" fillId="0" borderId="13" xfId="21" applyNumberFormat="1" applyFont="1" applyBorder="1" applyAlignment="1">
      <alignment horizontal="center"/>
      <protection locked="0"/>
    </xf>
    <xf numFmtId="0" fontId="13" fillId="0" borderId="12" xfId="0" applyFont="1" applyBorder="1" applyAlignment="1">
      <alignment/>
    </xf>
    <xf numFmtId="179" fontId="7" fillId="0" borderId="10" xfId="21" applyNumberFormat="1" applyFont="1" applyBorder="1" applyAlignment="1">
      <alignment horizontal="center"/>
      <protection/>
    </xf>
    <xf numFmtId="179" fontId="6" fillId="0" borderId="10" xfId="21" applyNumberFormat="1" applyFont="1" applyBorder="1" applyAlignment="1">
      <alignment horizontal="center"/>
      <protection/>
    </xf>
    <xf numFmtId="179" fontId="7" fillId="0" borderId="8" xfId="21" applyNumberFormat="1" applyFont="1" applyBorder="1" applyAlignment="1">
      <alignment horizontal="center"/>
      <protection/>
    </xf>
    <xf numFmtId="2" fontId="18" fillId="0" borderId="0" xfId="20" applyNumberFormat="1" applyFont="1" applyAlignment="1">
      <alignment/>
    </xf>
    <xf numFmtId="0" fontId="13" fillId="0" borderId="0" xfId="0" applyFont="1" applyAlignment="1">
      <alignment/>
    </xf>
    <xf numFmtId="0" fontId="18" fillId="0" borderId="0" xfId="20" applyFont="1" applyAlignment="1">
      <alignment/>
    </xf>
    <xf numFmtId="15" fontId="6" fillId="0" borderId="12" xfId="21" applyNumberFormat="1" applyFont="1" applyBorder="1" applyAlignment="1">
      <alignment horizontal="center"/>
      <protection/>
    </xf>
    <xf numFmtId="0" fontId="13" fillId="0" borderId="12" xfId="0" applyFont="1" applyBorder="1" applyAlignment="1">
      <alignment/>
    </xf>
    <xf numFmtId="15" fontId="6" fillId="0" borderId="5" xfId="21" applyNumberFormat="1" applyFont="1" applyBorder="1" applyAlignment="1">
      <alignment horizontal="center"/>
      <protection/>
    </xf>
    <xf numFmtId="0" fontId="0" fillId="0" borderId="5" xfId="0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852_6_~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Power penalties vs. distance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69"/>
          <c:w val="0.746"/>
          <c:h val="0.835"/>
        </c:manualLayout>
      </c:layout>
      <c:scatterChart>
        <c:scatterStyle val="lineMarker"/>
        <c:varyColors val="0"/>
        <c:ser>
          <c:idx val="0"/>
          <c:order val="0"/>
          <c:tx>
            <c:strRef>
              <c:f>'850serial50MMF'!$H$12</c:f>
              <c:strCache>
                <c:ptCount val="1"/>
                <c:pt idx="0">
                  <c:v>Pisi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'850serial50MMF'!$A$15:$A$35</c:f>
              <c:numCache/>
            </c:numRef>
          </c:xVal>
          <c:yVal>
            <c:numRef>
              <c:f>'850serial50MMF'!$H$15:$H$35</c:f>
              <c:numCache/>
            </c:numRef>
          </c:yVal>
          <c:smooth val="0"/>
        </c:ser>
        <c:ser>
          <c:idx val="1"/>
          <c:order val="1"/>
          <c:tx>
            <c:strRef>
              <c:f>'850serial50MMF'!$I$12</c:f>
              <c:strCache>
                <c:ptCount val="1"/>
                <c:pt idx="0">
                  <c:v>Patt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'850serial50MMF'!$A$15:$A$35</c:f>
              <c:numCache/>
            </c:numRef>
          </c:xVal>
          <c:yVal>
            <c:numRef>
              <c:f>'850serial50MMF'!$I$15:$I$35</c:f>
              <c:numCache/>
            </c:numRef>
          </c:yVal>
          <c:smooth val="0"/>
        </c:ser>
        <c:ser>
          <c:idx val="2"/>
          <c:order val="2"/>
          <c:tx>
            <c:strRef>
              <c:f>'850serial50MMF'!$L$12</c:f>
              <c:strCache>
                <c:ptCount val="1"/>
                <c:pt idx="0">
                  <c:v>Pmpn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'850serial50MMF'!$A$15:$A$35</c:f>
              <c:numCache/>
            </c:numRef>
          </c:xVal>
          <c:yVal>
            <c:numRef>
              <c:f>'850serial50MMF'!$L$15:$L$35</c:f>
              <c:numCache/>
            </c:numRef>
          </c:yVal>
          <c:smooth val="0"/>
        </c:ser>
        <c:ser>
          <c:idx val="3"/>
          <c:order val="3"/>
          <c:tx>
            <c:strRef>
              <c:f>'850serial50MMF'!$N$12</c:f>
              <c:strCache>
                <c:ptCount val="1"/>
                <c:pt idx="0">
                  <c:v>Prin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'850serial50MMF'!$A$15:$A$35</c:f>
              <c:numCache/>
            </c:numRef>
          </c:xVal>
          <c:yVal>
            <c:numRef>
              <c:f>'850serial50MMF'!$N$15:$N$35</c:f>
              <c:numCache/>
            </c:numRef>
          </c:yVal>
          <c:smooth val="0"/>
        </c:ser>
        <c:ser>
          <c:idx val="4"/>
          <c:order val="4"/>
          <c:tx>
            <c:strRef>
              <c:f>'850serial50MMF'!$O$12</c:f>
              <c:strCache>
                <c:ptCount val="1"/>
                <c:pt idx="0">
                  <c:v>Pcross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'850serial50MMF'!$A$15:$A$35</c:f>
              <c:numCache/>
            </c:numRef>
          </c:xVal>
          <c:yVal>
            <c:numRef>
              <c:f>'850serial50MMF'!$O$15:$O$35</c:f>
              <c:numCache/>
            </c:numRef>
          </c:yVal>
          <c:smooth val="0"/>
        </c:ser>
        <c:ser>
          <c:idx val="5"/>
          <c:order val="5"/>
          <c:tx>
            <c:strRef>
              <c:f>'850serial50MMF'!$P$12</c:f>
              <c:strCache>
                <c:ptCount val="1"/>
                <c:pt idx="0">
                  <c:v>Per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'850serial50MMF'!$A$15:$A$35</c:f>
              <c:numCache/>
            </c:numRef>
          </c:xVal>
          <c:yVal>
            <c:numRef>
              <c:f>'850serial50MMF'!$P$15:$P$35</c:f>
              <c:numCache/>
            </c:numRef>
          </c:yVal>
          <c:smooth val="0"/>
        </c:ser>
        <c:ser>
          <c:idx val="6"/>
          <c:order val="6"/>
          <c:tx>
            <c:strRef>
              <c:f>'850serial50MMF'!$Q$12</c:f>
              <c:strCache>
                <c:ptCount val="1"/>
                <c:pt idx="0">
                  <c:v>Pmn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'850serial50MMF'!$A$15:$A$35</c:f>
              <c:numCache/>
            </c:numRef>
          </c:xVal>
          <c:yVal>
            <c:numRef>
              <c:f>'850serial50MMF'!$Q$15:$Q$35</c:f>
              <c:numCache/>
            </c:numRef>
          </c:yVal>
          <c:smooth val="0"/>
        </c:ser>
        <c:ser>
          <c:idx val="10"/>
          <c:order val="7"/>
          <c:tx>
            <c:strRef>
              <c:f>'850serial50MMF'!$R$12</c:f>
              <c:strCache>
                <c:ptCount val="1"/>
                <c:pt idx="0">
                  <c:v>R. Eye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'850serial50MMF'!$A$15:$A$35</c:f>
              <c:numCache/>
            </c:numRef>
          </c:xVal>
          <c:yVal>
            <c:numRef>
              <c:f>'850serial50MMF'!$R$15:$R$35</c:f>
              <c:numCache/>
            </c:numRef>
          </c:yVal>
          <c:smooth val="0"/>
        </c:ser>
        <c:ser>
          <c:idx val="7"/>
          <c:order val="8"/>
          <c:tx>
            <c:strRef>
              <c:f>'850serial50MMF'!$AB$12</c:f>
              <c:strCache>
                <c:ptCount val="1"/>
                <c:pt idx="0">
                  <c:v>P-C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'850serial50MMF'!$A$15:$A$35</c:f>
              <c:numCache/>
            </c:numRef>
          </c:xVal>
          <c:yVal>
            <c:numRef>
              <c:f>'850serial50MMF'!$AB$15:$AB$35</c:f>
              <c:numCache/>
            </c:numRef>
          </c:yVal>
          <c:smooth val="0"/>
        </c:ser>
        <c:ser>
          <c:idx val="8"/>
          <c:order val="9"/>
          <c:tx>
            <c:strRef>
              <c:f>'850serial50MMF'!$S$12</c:f>
              <c:strCache>
                <c:ptCount val="1"/>
                <c:pt idx="0">
                  <c:v>Ptotal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'850serial50MMF'!$A$15:$A$35</c:f>
              <c:numCache/>
            </c:numRef>
          </c:xVal>
          <c:yVal>
            <c:numRef>
              <c:f>'850serial50MMF'!$S$15:$S$35</c:f>
              <c:numCache/>
            </c:numRef>
          </c:yVal>
          <c:smooth val="0"/>
        </c:ser>
        <c:ser>
          <c:idx val="9"/>
          <c:order val="10"/>
          <c:tx>
            <c:strRef>
              <c:f>'850serial50MMF'!$AD$13</c:f>
              <c:strCache>
                <c:ptCount val="1"/>
                <c:pt idx="0">
                  <c:v>Target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'850serial50MMF'!$AC$15:$AC$35</c:f>
              <c:numCache/>
            </c:numRef>
          </c:xVal>
          <c:yVal>
            <c:numRef>
              <c:f>'850serial50MMF'!$AD$15:$AD$35</c:f>
              <c:numCache/>
            </c:numRef>
          </c:yVal>
          <c:smooth val="0"/>
        </c:ser>
        <c:axId val="11133368"/>
        <c:axId val="33091449"/>
      </c:scatterChart>
      <c:valAx>
        <c:axId val="1113336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3091449"/>
        <c:crosses val="autoZero"/>
        <c:crossBetween val="midCat"/>
        <c:dispUnits/>
      </c:valAx>
      <c:valAx>
        <c:axId val="33091449"/>
        <c:scaling>
          <c:orientation val="minMax"/>
          <c:max val="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13336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5"/>
          <c:y val="0.18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Power penalties vs. distance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69"/>
          <c:w val="0.746"/>
          <c:h val="0.835"/>
        </c:manualLayout>
      </c:layout>
      <c:scatterChart>
        <c:scatterStyle val="lineMarker"/>
        <c:varyColors val="0"/>
        <c:ser>
          <c:idx val="0"/>
          <c:order val="0"/>
          <c:tx>
            <c:strRef>
              <c:f>'850CWDM50MMF'!$H$12</c:f>
              <c:strCache>
                <c:ptCount val="1"/>
                <c:pt idx="0">
                  <c:v>Pisi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'850CWDM50MMF'!$A$15:$A$35</c:f>
              <c:numCache/>
            </c:numRef>
          </c:xVal>
          <c:yVal>
            <c:numRef>
              <c:f>'850CWDM50MMF'!$H$15:$H$35</c:f>
              <c:numCache/>
            </c:numRef>
          </c:yVal>
          <c:smooth val="0"/>
        </c:ser>
        <c:ser>
          <c:idx val="1"/>
          <c:order val="1"/>
          <c:tx>
            <c:strRef>
              <c:f>'850CWDM50MMF'!$I$12</c:f>
              <c:strCache>
                <c:ptCount val="1"/>
                <c:pt idx="0">
                  <c:v>Patt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'850CWDM50MMF'!$A$15:$A$35</c:f>
              <c:numCache/>
            </c:numRef>
          </c:xVal>
          <c:yVal>
            <c:numRef>
              <c:f>'850CWDM50MMF'!$I$15:$I$35</c:f>
              <c:numCache/>
            </c:numRef>
          </c:yVal>
          <c:smooth val="0"/>
        </c:ser>
        <c:ser>
          <c:idx val="2"/>
          <c:order val="2"/>
          <c:tx>
            <c:strRef>
              <c:f>'850CWDM50MMF'!$L$12</c:f>
              <c:strCache>
                <c:ptCount val="1"/>
                <c:pt idx="0">
                  <c:v>Pmpn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'850CWDM50MMF'!$A$15:$A$35</c:f>
              <c:numCache/>
            </c:numRef>
          </c:xVal>
          <c:yVal>
            <c:numRef>
              <c:f>'850CWDM50MMF'!$L$15:$L$35</c:f>
              <c:numCache/>
            </c:numRef>
          </c:yVal>
          <c:smooth val="0"/>
        </c:ser>
        <c:ser>
          <c:idx val="3"/>
          <c:order val="3"/>
          <c:tx>
            <c:strRef>
              <c:f>'850CWDM50MMF'!$N$12</c:f>
              <c:strCache>
                <c:ptCount val="1"/>
                <c:pt idx="0">
                  <c:v>Prin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'850CWDM50MMF'!$A$15:$A$35</c:f>
              <c:numCache/>
            </c:numRef>
          </c:xVal>
          <c:yVal>
            <c:numRef>
              <c:f>'850CWDM50MMF'!$N$15:$N$35</c:f>
              <c:numCache/>
            </c:numRef>
          </c:yVal>
          <c:smooth val="0"/>
        </c:ser>
        <c:ser>
          <c:idx val="4"/>
          <c:order val="4"/>
          <c:tx>
            <c:strRef>
              <c:f>'850CWDM50MMF'!$O$12</c:f>
              <c:strCache>
                <c:ptCount val="1"/>
                <c:pt idx="0">
                  <c:v>Pcross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'850CWDM50MMF'!$A$15:$A$35</c:f>
              <c:numCache/>
            </c:numRef>
          </c:xVal>
          <c:yVal>
            <c:numRef>
              <c:f>'850CWDM50MMF'!$O$15:$O$35</c:f>
              <c:numCache/>
            </c:numRef>
          </c:yVal>
          <c:smooth val="0"/>
        </c:ser>
        <c:ser>
          <c:idx val="5"/>
          <c:order val="5"/>
          <c:tx>
            <c:strRef>
              <c:f>'850CWDM50MMF'!$P$12</c:f>
              <c:strCache>
                <c:ptCount val="1"/>
                <c:pt idx="0">
                  <c:v>Per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'850CWDM50MMF'!$A$15:$A$35</c:f>
              <c:numCache/>
            </c:numRef>
          </c:xVal>
          <c:yVal>
            <c:numRef>
              <c:f>'850CWDM50MMF'!$P$15:$P$35</c:f>
              <c:numCache/>
            </c:numRef>
          </c:yVal>
          <c:smooth val="0"/>
        </c:ser>
        <c:ser>
          <c:idx val="6"/>
          <c:order val="6"/>
          <c:tx>
            <c:strRef>
              <c:f>'850CWDM50MMF'!$Q$12</c:f>
              <c:strCache>
                <c:ptCount val="1"/>
                <c:pt idx="0">
                  <c:v>Pmn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'850CWDM50MMF'!$A$15:$A$35</c:f>
              <c:numCache/>
            </c:numRef>
          </c:xVal>
          <c:yVal>
            <c:numRef>
              <c:f>'850CWDM50MMF'!$Q$15:$Q$35</c:f>
              <c:numCache/>
            </c:numRef>
          </c:yVal>
          <c:smooth val="0"/>
        </c:ser>
        <c:ser>
          <c:idx val="10"/>
          <c:order val="7"/>
          <c:tx>
            <c:strRef>
              <c:f>'850CWDM50MMF'!$R$12</c:f>
              <c:strCache>
                <c:ptCount val="1"/>
                <c:pt idx="0">
                  <c:v>R. Eye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'850CWDM50MMF'!$A$15:$A$35</c:f>
              <c:numCache/>
            </c:numRef>
          </c:xVal>
          <c:yVal>
            <c:numRef>
              <c:f>'850CWDM50MMF'!$R$15:$R$35</c:f>
              <c:numCache/>
            </c:numRef>
          </c:yVal>
          <c:smooth val="0"/>
        </c:ser>
        <c:ser>
          <c:idx val="7"/>
          <c:order val="8"/>
          <c:tx>
            <c:strRef>
              <c:f>'850CWDM50MMF'!$AB$12</c:f>
              <c:strCache>
                <c:ptCount val="1"/>
                <c:pt idx="0">
                  <c:v>P-C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'850CWDM50MMF'!$A$15:$A$35</c:f>
              <c:numCache/>
            </c:numRef>
          </c:xVal>
          <c:yVal>
            <c:numRef>
              <c:f>'850CWDM50MMF'!$AB$15:$AB$35</c:f>
              <c:numCache/>
            </c:numRef>
          </c:yVal>
          <c:smooth val="0"/>
        </c:ser>
        <c:ser>
          <c:idx val="8"/>
          <c:order val="9"/>
          <c:tx>
            <c:strRef>
              <c:f>'850CWDM50MMF'!$S$12</c:f>
              <c:strCache>
                <c:ptCount val="1"/>
                <c:pt idx="0">
                  <c:v>Ptotal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'850CWDM50MMF'!$A$15:$A$35</c:f>
              <c:numCache/>
            </c:numRef>
          </c:xVal>
          <c:yVal>
            <c:numRef>
              <c:f>'850CWDM50MMF'!$S$15:$S$35</c:f>
              <c:numCache/>
            </c:numRef>
          </c:yVal>
          <c:smooth val="0"/>
        </c:ser>
        <c:ser>
          <c:idx val="9"/>
          <c:order val="10"/>
          <c:tx>
            <c:strRef>
              <c:f>'850CWDM50MMF'!$AD$13</c:f>
              <c:strCache>
                <c:ptCount val="1"/>
                <c:pt idx="0">
                  <c:v>Target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'850CWDM50MMF'!$AC$15:$AC$35</c:f>
              <c:numCache/>
            </c:numRef>
          </c:xVal>
          <c:yVal>
            <c:numRef>
              <c:f>'850CWDM50MMF'!$AD$15:$AD$35</c:f>
              <c:numCache/>
            </c:numRef>
          </c:yVal>
          <c:smooth val="0"/>
        </c:ser>
        <c:axId val="29387586"/>
        <c:axId val="63161683"/>
      </c:scatterChart>
      <c:valAx>
        <c:axId val="2938758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161683"/>
        <c:crosses val="autoZero"/>
        <c:crossBetween val="midCat"/>
        <c:dispUnits/>
      </c:valAx>
      <c:valAx>
        <c:axId val="63161683"/>
        <c:scaling>
          <c:orientation val="minMax"/>
          <c:max val="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38758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5"/>
          <c:y val="0.18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Power penalties vs. distance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69"/>
          <c:w val="0.746"/>
          <c:h val="0.835"/>
        </c:manualLayout>
      </c:layout>
      <c:scatterChart>
        <c:scatterStyle val="lineMarker"/>
        <c:varyColors val="0"/>
        <c:ser>
          <c:idx val="0"/>
          <c:order val="0"/>
          <c:tx>
            <c:strRef>
              <c:f>'850CWDM62MMF'!$H$12</c:f>
              <c:strCache>
                <c:ptCount val="1"/>
                <c:pt idx="0">
                  <c:v>Pisi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'850CWDM62MMF'!$A$15:$A$35</c:f>
              <c:numCache/>
            </c:numRef>
          </c:xVal>
          <c:yVal>
            <c:numRef>
              <c:f>'850CWDM62MMF'!$H$15:$H$35</c:f>
              <c:numCache/>
            </c:numRef>
          </c:yVal>
          <c:smooth val="0"/>
        </c:ser>
        <c:ser>
          <c:idx val="1"/>
          <c:order val="1"/>
          <c:tx>
            <c:strRef>
              <c:f>'850CWDM62MMF'!$I$12</c:f>
              <c:strCache>
                <c:ptCount val="1"/>
                <c:pt idx="0">
                  <c:v>Patt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'850CWDM62MMF'!$A$15:$A$35</c:f>
              <c:numCache/>
            </c:numRef>
          </c:xVal>
          <c:yVal>
            <c:numRef>
              <c:f>'850CWDM62MMF'!$I$15:$I$35</c:f>
              <c:numCache/>
            </c:numRef>
          </c:yVal>
          <c:smooth val="0"/>
        </c:ser>
        <c:ser>
          <c:idx val="2"/>
          <c:order val="2"/>
          <c:tx>
            <c:strRef>
              <c:f>'850CWDM62MMF'!$L$12</c:f>
              <c:strCache>
                <c:ptCount val="1"/>
                <c:pt idx="0">
                  <c:v>Pmpn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'850CWDM62MMF'!$A$15:$A$35</c:f>
              <c:numCache/>
            </c:numRef>
          </c:xVal>
          <c:yVal>
            <c:numRef>
              <c:f>'850CWDM62MMF'!$L$15:$L$35</c:f>
              <c:numCache/>
            </c:numRef>
          </c:yVal>
          <c:smooth val="0"/>
        </c:ser>
        <c:ser>
          <c:idx val="3"/>
          <c:order val="3"/>
          <c:tx>
            <c:strRef>
              <c:f>'850CWDM62MMF'!$N$12</c:f>
              <c:strCache>
                <c:ptCount val="1"/>
                <c:pt idx="0">
                  <c:v>Prin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'850CWDM62MMF'!$A$15:$A$35</c:f>
              <c:numCache/>
            </c:numRef>
          </c:xVal>
          <c:yVal>
            <c:numRef>
              <c:f>'850CWDM62MMF'!$N$15:$N$35</c:f>
              <c:numCache/>
            </c:numRef>
          </c:yVal>
          <c:smooth val="0"/>
        </c:ser>
        <c:ser>
          <c:idx val="4"/>
          <c:order val="4"/>
          <c:tx>
            <c:strRef>
              <c:f>'850CWDM62MMF'!$O$12</c:f>
              <c:strCache>
                <c:ptCount val="1"/>
                <c:pt idx="0">
                  <c:v>Pcross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'850CWDM62MMF'!$A$15:$A$35</c:f>
              <c:numCache/>
            </c:numRef>
          </c:xVal>
          <c:yVal>
            <c:numRef>
              <c:f>'850CWDM62MMF'!$O$15:$O$35</c:f>
              <c:numCache/>
            </c:numRef>
          </c:yVal>
          <c:smooth val="0"/>
        </c:ser>
        <c:ser>
          <c:idx val="5"/>
          <c:order val="5"/>
          <c:tx>
            <c:strRef>
              <c:f>'850CWDM62MMF'!$P$12</c:f>
              <c:strCache>
                <c:ptCount val="1"/>
                <c:pt idx="0">
                  <c:v>Per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'850CWDM62MMF'!$A$15:$A$35</c:f>
              <c:numCache/>
            </c:numRef>
          </c:xVal>
          <c:yVal>
            <c:numRef>
              <c:f>'850CWDM62MMF'!$P$15:$P$35</c:f>
              <c:numCache/>
            </c:numRef>
          </c:yVal>
          <c:smooth val="0"/>
        </c:ser>
        <c:ser>
          <c:idx val="6"/>
          <c:order val="6"/>
          <c:tx>
            <c:strRef>
              <c:f>'850CWDM62MMF'!$Q$12</c:f>
              <c:strCache>
                <c:ptCount val="1"/>
                <c:pt idx="0">
                  <c:v>Pmn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'850CWDM62MMF'!$A$15:$A$35</c:f>
              <c:numCache/>
            </c:numRef>
          </c:xVal>
          <c:yVal>
            <c:numRef>
              <c:f>'850CWDM62MMF'!$Q$15:$Q$35</c:f>
              <c:numCache/>
            </c:numRef>
          </c:yVal>
          <c:smooth val="0"/>
        </c:ser>
        <c:ser>
          <c:idx val="10"/>
          <c:order val="7"/>
          <c:tx>
            <c:strRef>
              <c:f>'850CWDM62MMF'!$R$12</c:f>
              <c:strCache>
                <c:ptCount val="1"/>
                <c:pt idx="0">
                  <c:v>R. Eye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'850CWDM62MMF'!$A$15:$A$35</c:f>
              <c:numCache/>
            </c:numRef>
          </c:xVal>
          <c:yVal>
            <c:numRef>
              <c:f>'850CWDM62MMF'!$R$15:$R$35</c:f>
              <c:numCache/>
            </c:numRef>
          </c:yVal>
          <c:smooth val="0"/>
        </c:ser>
        <c:ser>
          <c:idx val="7"/>
          <c:order val="8"/>
          <c:tx>
            <c:strRef>
              <c:f>'850CWDM62MMF'!$AB$12</c:f>
              <c:strCache>
                <c:ptCount val="1"/>
                <c:pt idx="0">
                  <c:v>P-C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'850CWDM62MMF'!$A$15:$A$35</c:f>
              <c:numCache/>
            </c:numRef>
          </c:xVal>
          <c:yVal>
            <c:numRef>
              <c:f>'850CWDM62MMF'!$AB$15:$AB$35</c:f>
              <c:numCache/>
            </c:numRef>
          </c:yVal>
          <c:smooth val="0"/>
        </c:ser>
        <c:ser>
          <c:idx val="8"/>
          <c:order val="9"/>
          <c:tx>
            <c:strRef>
              <c:f>'850CWDM62MMF'!$S$12</c:f>
              <c:strCache>
                <c:ptCount val="1"/>
                <c:pt idx="0">
                  <c:v>Ptotal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'850CWDM62MMF'!$A$15:$A$35</c:f>
              <c:numCache/>
            </c:numRef>
          </c:xVal>
          <c:yVal>
            <c:numRef>
              <c:f>'850CWDM62MMF'!$S$15:$S$35</c:f>
              <c:numCache/>
            </c:numRef>
          </c:yVal>
          <c:smooth val="0"/>
        </c:ser>
        <c:ser>
          <c:idx val="9"/>
          <c:order val="10"/>
          <c:tx>
            <c:strRef>
              <c:f>'850CWDM62MMF'!$AD$13</c:f>
              <c:strCache>
                <c:ptCount val="1"/>
                <c:pt idx="0">
                  <c:v>Target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'850CWDM62MMF'!$AC$15:$AC$35</c:f>
              <c:numCache/>
            </c:numRef>
          </c:xVal>
          <c:yVal>
            <c:numRef>
              <c:f>'850CWDM62MMF'!$AD$15:$AD$35</c:f>
              <c:numCache/>
            </c:numRef>
          </c:yVal>
          <c:smooth val="0"/>
        </c:ser>
        <c:axId val="31584236"/>
        <c:axId val="15822669"/>
      </c:scatterChart>
      <c:valAx>
        <c:axId val="315842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5822669"/>
        <c:crosses val="autoZero"/>
        <c:crossBetween val="midCat"/>
        <c:dispUnits/>
      </c:valAx>
      <c:valAx>
        <c:axId val="15822669"/>
        <c:scaling>
          <c:orientation val="minMax"/>
          <c:max val="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58423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5"/>
          <c:y val="0.18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Power penalties vs. distance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075"/>
          <c:w val="0.73825"/>
          <c:h val="0.82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'1300nm62MMF'!$H$12</c:f>
              <c:strCache>
                <c:ptCount val="1"/>
                <c:pt idx="0">
                  <c:v>Pisi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'1300nm62MMF'!$A$15:$A$35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'1300nm62MMF'!$H$15:$H$35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'1300nm62MMF'!$I$12</c:f>
              <c:strCache>
                <c:ptCount val="1"/>
                <c:pt idx="0">
                  <c:v>Patt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'1300nm62MMF'!$A$15:$A$35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'1300nm62MMF'!$I$15:$I$35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'1300nm62MMF'!$L$12</c:f>
              <c:strCache>
                <c:ptCount val="1"/>
                <c:pt idx="0">
                  <c:v>Pmpn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'1300nm62MMF'!$A$15:$A$35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'1300nm62MMF'!$L$15:$L$35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'1300nm62MMF'!$N$12</c:f>
              <c:strCache>
                <c:ptCount val="1"/>
                <c:pt idx="0">
                  <c:v>Prin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'1300nm62MMF'!$A$15:$A$35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'1300nm62MMF'!$N$15:$N$35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'1300nm62MMF'!$O$12</c:f>
              <c:strCache>
                <c:ptCount val="1"/>
                <c:pt idx="0">
                  <c:v>Pcross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'1300nm62MMF'!$A$15:$A$35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'1300nm62MMF'!$O$15:$O$35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'1300nm62MMF'!$P$12</c:f>
              <c:strCache>
                <c:ptCount val="1"/>
                <c:pt idx="0">
                  <c:v>Per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'1300nm62MMF'!$A$15:$A$35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'1300nm62MMF'!$P$15:$P$35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'1300nm62MMF'!$Q$12</c:f>
              <c:strCache>
                <c:ptCount val="1"/>
                <c:pt idx="0">
                  <c:v>Pmn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'1300nm62MMF'!$A$15:$A$35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'1300nm62MMF'!$Q$15:$Q$35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10"/>
          <c:order val="7"/>
          <c:tx>
            <c:strRef>
              <c:f>'1300nm62MMF'!$R$12</c:f>
              <c:strCache>
                <c:ptCount val="1"/>
                <c:pt idx="0">
                  <c:v>R. Eye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'1300nm62MMF'!$A$15:$A$35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'1300nm62MMF'!$R$15:$R$35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7"/>
          <c:order val="8"/>
          <c:tx>
            <c:strRef>
              <c:f>'1300nm62MMF'!$AB$12</c:f>
              <c:strCache>
                <c:ptCount val="1"/>
                <c:pt idx="0">
                  <c:v>P-C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'1300nm62MMF'!$A$15:$A$35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'1300nm62MMF'!$AB$15:$AB$35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8"/>
          <c:order val="9"/>
          <c:tx>
            <c:strRef>
              <c:f>'1300nm62MMF'!$S$12</c:f>
              <c:strCache>
                <c:ptCount val="1"/>
                <c:pt idx="0">
                  <c:v>Ptotal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'1300nm62MMF'!$A$15:$A$35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'1300nm62MMF'!$S$15:$S$35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9"/>
          <c:order val="10"/>
          <c:tx>
            <c:strRef>
              <c:f>'1300nm62MMF'!$AD$13</c:f>
              <c:strCache>
                <c:ptCount val="1"/>
                <c:pt idx="0">
                  <c:v>Target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'1300nm62MMF'!$AC$15:$AC$35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'1300nm62MMF'!$AD$15:$AD$35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axId val="8186294"/>
        <c:axId val="6567783"/>
      </c:scatterChart>
      <c:valAx>
        <c:axId val="8186294"/>
        <c:scaling>
          <c:orientation val="minMax"/>
          <c:max val="0.4"/>
          <c:min val="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67783"/>
        <c:crosses val="autoZero"/>
        <c:crossBetween val="midCat"/>
        <c:dispUnits/>
      </c:valAx>
      <c:valAx>
        <c:axId val="656778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18629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7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Power penalties vs. distance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07375"/>
          <c:w val="0.737"/>
          <c:h val="0.82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'1300nm50MMF'!$H$12</c:f>
              <c:strCache>
                <c:ptCount val="1"/>
                <c:pt idx="0">
                  <c:v>Pisi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'1300nm50MMF'!$A$15:$A$35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'1300nm50MMF'!$H$15:$H$35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'1300nm50MMF'!$I$12</c:f>
              <c:strCache>
                <c:ptCount val="1"/>
                <c:pt idx="0">
                  <c:v>Patt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'1300nm50MMF'!$A$15:$A$35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'1300nm50MMF'!$I$15:$I$35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'1300nm50MMF'!$L$12</c:f>
              <c:strCache>
                <c:ptCount val="1"/>
                <c:pt idx="0">
                  <c:v>Pmpn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'1300nm50MMF'!$A$15:$A$35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'1300nm50MMF'!$L$15:$L$35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'1300nm50MMF'!$N$12</c:f>
              <c:strCache>
                <c:ptCount val="1"/>
                <c:pt idx="0">
                  <c:v>Prin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'1300nm50MMF'!$A$15:$A$35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'1300nm50MMF'!$N$15:$N$35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'1300nm50MMF'!$O$12</c:f>
              <c:strCache>
                <c:ptCount val="1"/>
                <c:pt idx="0">
                  <c:v>Pcross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'1300nm50MMF'!$A$15:$A$35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'1300nm50MMF'!$O$15:$O$35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'1300nm50MMF'!$P$12</c:f>
              <c:strCache>
                <c:ptCount val="1"/>
                <c:pt idx="0">
                  <c:v>Per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'1300nm50MMF'!$A$15:$A$35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'1300nm50MMF'!$P$15:$P$35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'1300nm50MMF'!$Q$12</c:f>
              <c:strCache>
                <c:ptCount val="1"/>
                <c:pt idx="0">
                  <c:v>Pmn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'1300nm50MMF'!$A$15:$A$35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'1300nm50MMF'!$Q$15:$Q$35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10"/>
          <c:order val="7"/>
          <c:tx>
            <c:strRef>
              <c:f>'1300nm50MMF'!$R$12</c:f>
              <c:strCache>
                <c:ptCount val="1"/>
                <c:pt idx="0">
                  <c:v>R. Eye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'1300nm50MMF'!$A$15:$A$35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'1300nm50MMF'!$R$15:$R$35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7"/>
          <c:order val="8"/>
          <c:tx>
            <c:strRef>
              <c:f>'1300nm50MMF'!$AB$12</c:f>
              <c:strCache>
                <c:ptCount val="1"/>
                <c:pt idx="0">
                  <c:v>P-C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'1300nm50MMF'!$A$15:$A$35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'1300nm50MMF'!$AB$15:$AB$35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8"/>
          <c:order val="9"/>
          <c:tx>
            <c:strRef>
              <c:f>'1300nm50MMF'!$S$12</c:f>
              <c:strCache>
                <c:ptCount val="1"/>
                <c:pt idx="0">
                  <c:v>Ptotal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'1300nm50MMF'!$A$15:$A$35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'1300nm50MMF'!$S$15:$S$35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9"/>
          <c:order val="10"/>
          <c:tx>
            <c:strRef>
              <c:f>'1300nm50MMF'!$AD$13</c:f>
              <c:strCache>
                <c:ptCount val="1"/>
                <c:pt idx="0">
                  <c:v>Target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'1300nm50MMF'!$AC$15:$AC$35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'1300nm50MMF'!$AD$15:$AD$35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axId val="59110048"/>
        <c:axId val="62228385"/>
      </c:scatterChart>
      <c:valAx>
        <c:axId val="59110048"/>
        <c:scaling>
          <c:orientation val="minMax"/>
          <c:max val="0.4"/>
          <c:min val="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228385"/>
        <c:crosses val="autoZero"/>
        <c:crossBetween val="midCat"/>
        <c:dispUnits/>
      </c:valAx>
      <c:valAx>
        <c:axId val="6222838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11004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"/>
          <c:y val="0.17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Power penalties vs. distance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07375"/>
          <c:w val="0.7355"/>
          <c:h val="0.82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'1300WWDM_SMF'!$H$12</c:f>
              <c:strCache>
                <c:ptCount val="1"/>
                <c:pt idx="0">
                  <c:v>Pisi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'1300WWDM_SMF'!$A$15:$A$35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'1300WWDM_SMF'!$H$15:$H$35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'1300WWDM_SMF'!$I$12</c:f>
              <c:strCache>
                <c:ptCount val="1"/>
                <c:pt idx="0">
                  <c:v>Patt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'1300WWDM_SMF'!$A$15:$A$35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'1300WWDM_SMF'!$I$15:$I$35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'1300WWDM_SMF'!$L$12</c:f>
              <c:strCache>
                <c:ptCount val="1"/>
                <c:pt idx="0">
                  <c:v>Pmpn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'1300WWDM_SMF'!$A$15:$A$35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'1300WWDM_SMF'!$L$15:$L$35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'1300WWDM_SMF'!$N$12</c:f>
              <c:strCache>
                <c:ptCount val="1"/>
                <c:pt idx="0">
                  <c:v>Prin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'1300WWDM_SMF'!$A$15:$A$35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'1300WWDM_SMF'!$N$15:$N$35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'1300WWDM_SMF'!$O$12</c:f>
              <c:strCache>
                <c:ptCount val="1"/>
                <c:pt idx="0">
                  <c:v>Pcross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'1300WWDM_SMF'!$A$15:$A$35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'1300WWDM_SMF'!$O$15:$O$35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'1300WWDM_SMF'!$P$12</c:f>
              <c:strCache>
                <c:ptCount val="1"/>
                <c:pt idx="0">
                  <c:v>Per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'1300WWDM_SMF'!$A$15:$A$35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'1300WWDM_SMF'!$P$15:$P$35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'1300WWDM_SMF'!$Q$12</c:f>
              <c:strCache>
                <c:ptCount val="1"/>
                <c:pt idx="0">
                  <c:v>Pmn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'1300WWDM_SMF'!$A$15:$A$35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'1300WWDM_SMF'!$Q$15:$Q$35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10"/>
          <c:order val="7"/>
          <c:tx>
            <c:strRef>
              <c:f>'1300WWDM_SMF'!$R$12</c:f>
              <c:strCache>
                <c:ptCount val="1"/>
                <c:pt idx="0">
                  <c:v>R. Eye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'1300WWDM_SMF'!$A$15:$A$35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'1300WWDM_SMF'!$R$15:$R$35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7"/>
          <c:order val="8"/>
          <c:tx>
            <c:strRef>
              <c:f>'1300WWDM_SMF'!$AB$12</c:f>
              <c:strCache>
                <c:ptCount val="1"/>
                <c:pt idx="0">
                  <c:v>P-C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'1300WWDM_SMF'!$A$15:$A$35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'1300WWDM_SMF'!$AB$15:$AB$35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8"/>
          <c:order val="9"/>
          <c:tx>
            <c:strRef>
              <c:f>'1300WWDM_SMF'!$S$12</c:f>
              <c:strCache>
                <c:ptCount val="1"/>
                <c:pt idx="0">
                  <c:v>Ptotal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'1300WWDM_SMF'!$A$15:$A$35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'1300WWDM_SMF'!$S$15:$S$35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9"/>
          <c:order val="10"/>
          <c:tx>
            <c:strRef>
              <c:f>'1300WWDM_SMF'!$AD$13</c:f>
              <c:strCache>
                <c:ptCount val="1"/>
                <c:pt idx="0">
                  <c:v>Target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'1300WWDM_SMF'!$AC$15:$AC$35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'1300WWDM_SMF'!$AD$15:$AD$35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axId val="23184554"/>
        <c:axId val="7334395"/>
      </c:scatterChart>
      <c:valAx>
        <c:axId val="23184554"/>
        <c:scaling>
          <c:orientation val="minMax"/>
          <c:max val="12.5"/>
          <c:min val="7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334395"/>
        <c:crosses val="autoZero"/>
        <c:crossBetween val="midCat"/>
        <c:dispUnits/>
      </c:valAx>
      <c:valAx>
        <c:axId val="733439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18455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5"/>
          <c:y val="0.17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Power penalties vs. distance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705"/>
          <c:w val="0.74725"/>
          <c:h val="0.8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'1300serial_SMF'!$H$12</c:f>
              <c:strCache>
                <c:ptCount val="1"/>
                <c:pt idx="0">
                  <c:v>Pisi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'1300serial_SMF'!$A$15:$A$35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'1300serial_SMF'!$H$15:$H$35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'1300serial_SMF'!$I$12</c:f>
              <c:strCache>
                <c:ptCount val="1"/>
                <c:pt idx="0">
                  <c:v>Patt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'1300serial_SMF'!$A$15:$A$35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'1300serial_SMF'!$I$15:$I$35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'1300serial_SMF'!$L$12</c:f>
              <c:strCache>
                <c:ptCount val="1"/>
                <c:pt idx="0">
                  <c:v>Pmpn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'1300serial_SMF'!$A$15:$A$35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'1300serial_SMF'!$L$15:$L$35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'1300serial_SMF'!$N$12</c:f>
              <c:strCache>
                <c:ptCount val="1"/>
                <c:pt idx="0">
                  <c:v>Prin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'1300serial_SMF'!$A$15:$A$35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'1300serial_SMF'!$N$15:$N$35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'1300serial_SMF'!$O$12</c:f>
              <c:strCache>
                <c:ptCount val="1"/>
                <c:pt idx="0">
                  <c:v>Pcross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'1300serial_SMF'!$A$15:$A$35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'1300serial_SMF'!$O$15:$O$35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'1300serial_SMF'!$P$12</c:f>
              <c:strCache>
                <c:ptCount val="1"/>
                <c:pt idx="0">
                  <c:v>Per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'1300serial_SMF'!$A$15:$A$35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'1300serial_SMF'!$P$15:$P$35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'1300serial_SMF'!$Q$12</c:f>
              <c:strCache>
                <c:ptCount val="1"/>
                <c:pt idx="0">
                  <c:v>Pmn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'1300serial_SMF'!$A$15:$A$35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'1300serial_SMF'!$Q$15:$Q$35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10"/>
          <c:order val="7"/>
          <c:tx>
            <c:strRef>
              <c:f>'1300serial_SMF'!$R$12</c:f>
              <c:strCache>
                <c:ptCount val="1"/>
                <c:pt idx="0">
                  <c:v>R. Eye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'1300serial_SMF'!$A$15:$A$35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'1300serial_SMF'!$R$15:$R$35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7"/>
          <c:order val="8"/>
          <c:tx>
            <c:strRef>
              <c:f>'1300serial_SMF'!$AB$12</c:f>
              <c:strCache>
                <c:ptCount val="1"/>
                <c:pt idx="0">
                  <c:v>P-C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'1300serial_SMF'!$A$15:$A$35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'1300serial_SMF'!$AB$15:$AB$35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8"/>
          <c:order val="9"/>
          <c:tx>
            <c:strRef>
              <c:f>'1300serial_SMF'!$S$12</c:f>
              <c:strCache>
                <c:ptCount val="1"/>
                <c:pt idx="0">
                  <c:v>Ptotal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'1300serial_SMF'!$A$15:$A$35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'1300serial_SMF'!$S$15:$S$35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9"/>
          <c:order val="10"/>
          <c:tx>
            <c:strRef>
              <c:f>'1300serial_SMF'!$AD$13</c:f>
              <c:strCache>
                <c:ptCount val="1"/>
                <c:pt idx="0">
                  <c:v>Target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'1300serial_SMF'!$AC$15:$AC$35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'1300serial_SMF'!$AD$15:$AD$35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axId val="66009556"/>
        <c:axId val="57215093"/>
      </c:scatterChart>
      <c:valAx>
        <c:axId val="66009556"/>
        <c:scaling>
          <c:orientation val="minMax"/>
          <c:max val="12.5"/>
          <c:min val="7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215093"/>
        <c:crosses val="autoZero"/>
        <c:crossBetween val="midCat"/>
        <c:dispUnits/>
      </c:valAx>
      <c:valAx>
        <c:axId val="57215093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00955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5"/>
          <c:y val="0.18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Power penalties vs. distance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7275"/>
          <c:w val="0.74675"/>
          <c:h val="0.831"/>
        </c:manualLayout>
      </c:layout>
      <c:scatterChart>
        <c:scatterStyle val="lineMarker"/>
        <c:varyColors val="0"/>
        <c:ser>
          <c:idx val="0"/>
          <c:order val="0"/>
          <c:tx>
            <c:strRef>
              <c:f>'1550nmSMF'!$H$12</c:f>
              <c:strCache>
                <c:ptCount val="1"/>
                <c:pt idx="0">
                  <c:v>Pisi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'1550nmSMF'!$A$15:$A$35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'1550nmSMF'!$H$15:$H$35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'1550nmSMF'!$I$12</c:f>
              <c:strCache>
                <c:ptCount val="1"/>
                <c:pt idx="0">
                  <c:v>Patt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'1550nmSMF'!$A$15:$A$35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'1550nmSMF'!$I$15:$I$35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'1550nmSMF'!$L$12</c:f>
              <c:strCache>
                <c:ptCount val="1"/>
                <c:pt idx="0">
                  <c:v>Pmpn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'1550nmSMF'!$A$15:$A$35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'1550nmSMF'!$L$15:$L$35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'1550nmSMF'!$N$12</c:f>
              <c:strCache>
                <c:ptCount val="1"/>
                <c:pt idx="0">
                  <c:v>Prin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'1550nmSMF'!$A$15:$A$35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'1550nmSMF'!$N$15:$N$35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'1550nmSMF'!$O$12</c:f>
              <c:strCache>
                <c:ptCount val="1"/>
                <c:pt idx="0">
                  <c:v>Pcross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'1550nmSMF'!$A$15:$A$35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'1550nmSMF'!$O$15:$O$35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'1550nmSMF'!$P$12</c:f>
              <c:strCache>
                <c:ptCount val="1"/>
                <c:pt idx="0">
                  <c:v>Per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'1550nmSMF'!$A$15:$A$35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'1550nmSMF'!$P$15:$P$35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'1550nmSMF'!$Q$12</c:f>
              <c:strCache>
                <c:ptCount val="1"/>
                <c:pt idx="0">
                  <c:v>Pmn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'1550nmSMF'!$A$15:$A$35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'1550nmSMF'!$Q$15:$Q$35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10"/>
          <c:order val="7"/>
          <c:tx>
            <c:strRef>
              <c:f>'1550nmSMF'!$R$12</c:f>
              <c:strCache>
                <c:ptCount val="1"/>
                <c:pt idx="0">
                  <c:v>R. Eye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'1550nmSMF'!$A$15:$A$35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'1550nmSMF'!$R$15:$R$35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7"/>
          <c:order val="8"/>
          <c:tx>
            <c:strRef>
              <c:f>'1550nmSMF'!$AB$12</c:f>
              <c:strCache>
                <c:ptCount val="1"/>
                <c:pt idx="0">
                  <c:v>P-C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'1550nmSMF'!$A$15:$A$35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'1550nmSMF'!$AB$15:$AB$35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8"/>
          <c:order val="9"/>
          <c:tx>
            <c:strRef>
              <c:f>'1550nmSMF'!$S$12</c:f>
              <c:strCache>
                <c:ptCount val="1"/>
                <c:pt idx="0">
                  <c:v>Ptotal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'1550nmSMF'!$A$15:$A$35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'1550nmSMF'!$S$15:$S$35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9"/>
          <c:order val="10"/>
          <c:tx>
            <c:strRef>
              <c:f>'1550nmSMF'!$AD$13</c:f>
              <c:strCache>
                <c:ptCount val="1"/>
                <c:pt idx="0">
                  <c:v>Target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'1550nmSMF'!$AC$15:$AC$35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'1550nmSMF'!$AD$15:$AD$35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axId val="45173790"/>
        <c:axId val="3910927"/>
      </c:scatterChart>
      <c:valAx>
        <c:axId val="45173790"/>
        <c:scaling>
          <c:orientation val="minMax"/>
          <c:max val="50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10927"/>
        <c:crosses val="autoZero"/>
        <c:crossBetween val="midCat"/>
        <c:dispUnits/>
      </c:valAx>
      <c:valAx>
        <c:axId val="3910927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17379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5"/>
          <c:y val="0.18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35</xdr:row>
      <xdr:rowOff>0</xdr:rowOff>
    </xdr:from>
    <xdr:to>
      <xdr:col>22</xdr:col>
      <xdr:colOff>733425</xdr:colOff>
      <xdr:row>50</xdr:row>
      <xdr:rowOff>180975</xdr:rowOff>
    </xdr:to>
    <xdr:graphicFrame>
      <xdr:nvGraphicFramePr>
        <xdr:cNvPr id="1" name="Chart 1"/>
        <xdr:cNvGraphicFramePr/>
      </xdr:nvGraphicFramePr>
      <xdr:xfrm>
        <a:off x="7705725" y="6677025"/>
        <a:ext cx="46863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35</xdr:row>
      <xdr:rowOff>0</xdr:rowOff>
    </xdr:from>
    <xdr:to>
      <xdr:col>22</xdr:col>
      <xdr:colOff>733425</xdr:colOff>
      <xdr:row>50</xdr:row>
      <xdr:rowOff>180975</xdr:rowOff>
    </xdr:to>
    <xdr:graphicFrame>
      <xdr:nvGraphicFramePr>
        <xdr:cNvPr id="1" name="Chart 1"/>
        <xdr:cNvGraphicFramePr/>
      </xdr:nvGraphicFramePr>
      <xdr:xfrm>
        <a:off x="7705725" y="6677025"/>
        <a:ext cx="46863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35</xdr:row>
      <xdr:rowOff>0</xdr:rowOff>
    </xdr:from>
    <xdr:to>
      <xdr:col>22</xdr:col>
      <xdr:colOff>733425</xdr:colOff>
      <xdr:row>50</xdr:row>
      <xdr:rowOff>180975</xdr:rowOff>
    </xdr:to>
    <xdr:graphicFrame>
      <xdr:nvGraphicFramePr>
        <xdr:cNvPr id="1" name="Chart 1"/>
        <xdr:cNvGraphicFramePr/>
      </xdr:nvGraphicFramePr>
      <xdr:xfrm>
        <a:off x="7705725" y="6677025"/>
        <a:ext cx="46863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95250</xdr:colOff>
      <xdr:row>35</xdr:row>
      <xdr:rowOff>0</xdr:rowOff>
    </xdr:from>
    <xdr:to>
      <xdr:col>22</xdr:col>
      <xdr:colOff>733425</xdr:colOff>
      <xdr:row>50</xdr:row>
      <xdr:rowOff>180975</xdr:rowOff>
    </xdr:to>
    <xdr:graphicFrame>
      <xdr:nvGraphicFramePr>
        <xdr:cNvPr id="1" name="Chart 1"/>
        <xdr:cNvGraphicFramePr/>
      </xdr:nvGraphicFramePr>
      <xdr:xfrm>
        <a:off x="7715250" y="6677025"/>
        <a:ext cx="46767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</xdr:colOff>
      <xdr:row>35</xdr:row>
      <xdr:rowOff>0</xdr:rowOff>
    </xdr:from>
    <xdr:to>
      <xdr:col>22</xdr:col>
      <xdr:colOff>733425</xdr:colOff>
      <xdr:row>50</xdr:row>
      <xdr:rowOff>180975</xdr:rowOff>
    </xdr:to>
    <xdr:graphicFrame>
      <xdr:nvGraphicFramePr>
        <xdr:cNvPr id="1" name="Chart 1"/>
        <xdr:cNvGraphicFramePr/>
      </xdr:nvGraphicFramePr>
      <xdr:xfrm>
        <a:off x="7686675" y="6677025"/>
        <a:ext cx="47053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35</xdr:row>
      <xdr:rowOff>0</xdr:rowOff>
    </xdr:from>
    <xdr:to>
      <xdr:col>22</xdr:col>
      <xdr:colOff>733425</xdr:colOff>
      <xdr:row>50</xdr:row>
      <xdr:rowOff>180975</xdr:rowOff>
    </xdr:to>
    <xdr:graphicFrame>
      <xdr:nvGraphicFramePr>
        <xdr:cNvPr id="1" name="Chart 1"/>
        <xdr:cNvGraphicFramePr/>
      </xdr:nvGraphicFramePr>
      <xdr:xfrm>
        <a:off x="7705725" y="6677025"/>
        <a:ext cx="46863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35</xdr:row>
      <xdr:rowOff>0</xdr:rowOff>
    </xdr:from>
    <xdr:to>
      <xdr:col>22</xdr:col>
      <xdr:colOff>733425</xdr:colOff>
      <xdr:row>50</xdr:row>
      <xdr:rowOff>180975</xdr:rowOff>
    </xdr:to>
    <xdr:graphicFrame>
      <xdr:nvGraphicFramePr>
        <xdr:cNvPr id="1" name="Chart 1"/>
        <xdr:cNvGraphicFramePr/>
      </xdr:nvGraphicFramePr>
      <xdr:xfrm>
        <a:off x="7705725" y="6677025"/>
        <a:ext cx="46863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35</xdr:row>
      <xdr:rowOff>0</xdr:rowOff>
    </xdr:from>
    <xdr:to>
      <xdr:col>22</xdr:col>
      <xdr:colOff>733425</xdr:colOff>
      <xdr:row>50</xdr:row>
      <xdr:rowOff>180975</xdr:rowOff>
    </xdr:to>
    <xdr:graphicFrame>
      <xdr:nvGraphicFramePr>
        <xdr:cNvPr id="1" name="Chart 1"/>
        <xdr:cNvGraphicFramePr/>
      </xdr:nvGraphicFramePr>
      <xdr:xfrm>
        <a:off x="7705725" y="6677025"/>
        <a:ext cx="46863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rouper.ieee.org/groups/802/3/10G_study/public/email_attach/All_1250.xls" TargetMode="External" /><Relationship Id="rId2" Type="http://schemas.openxmlformats.org/officeDocument/2006/relationships/hyperlink" Target="http://grouper.ieee.org/groups/802/3/10G_study/public/email_attach/All_1250.xls" TargetMode="External" /><Relationship Id="rId3" Type="http://schemas.openxmlformats.org/officeDocument/2006/relationships/hyperlink" Target="http://grouper.ieee.org/groups/802/3/10G_study/public/email_attach/All_1250v2.xls" TargetMode="External" /><Relationship Id="rId4" Type="http://schemas.openxmlformats.org/officeDocument/2006/relationships/hyperlink" Target="http://www.ieee802.org/3/ae/public/may00/hanson_1_0500.pdf" TargetMode="External" /><Relationship Id="rId5" Type="http://schemas.openxmlformats.org/officeDocument/2006/relationships/hyperlink" Target="http://www.ieee802.org/3/10G_study/public/email_attach/3pmd046.xls" TargetMode="External" /><Relationship Id="rId6" Type="http://schemas.openxmlformats.org/officeDocument/2006/relationships/hyperlink" Target="http://grouper.ieee.org/groups/802/3/ae/public/may00/kolesar_1_0500.pdf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workbookViewId="0" topLeftCell="A1">
      <selection activeCell="A1" sqref="A1"/>
    </sheetView>
  </sheetViews>
  <sheetFormatPr defaultColWidth="9.140625" defaultRowHeight="12.75"/>
  <cols>
    <col min="1" max="3" width="9.140625" style="173" customWidth="1"/>
    <col min="4" max="4" width="11.421875" style="173" bestFit="1" customWidth="1"/>
    <col min="5" max="16384" width="9.140625" style="173" customWidth="1"/>
  </cols>
  <sheetData>
    <row r="1" spans="1:8" ht="15.75">
      <c r="A1" s="80" t="s">
        <v>177</v>
      </c>
      <c r="C1" s="173" t="s">
        <v>152</v>
      </c>
      <c r="D1" s="218">
        <v>36714</v>
      </c>
      <c r="E1" s="229" t="s">
        <v>1</v>
      </c>
      <c r="F1" s="228" t="s">
        <v>178</v>
      </c>
      <c r="H1" s="173" t="s">
        <v>167</v>
      </c>
    </row>
    <row r="2" spans="1:3" ht="15">
      <c r="A2" s="173" t="s">
        <v>176</v>
      </c>
      <c r="C2" s="220" t="s">
        <v>179</v>
      </c>
    </row>
    <row r="3" ht="15.75">
      <c r="A3" s="80" t="s">
        <v>180</v>
      </c>
    </row>
    <row r="4" ht="15">
      <c r="A4" s="173" t="s">
        <v>183</v>
      </c>
    </row>
    <row r="5" ht="15">
      <c r="B5" s="220" t="s">
        <v>181</v>
      </c>
    </row>
    <row r="6" ht="15">
      <c r="B6" s="220" t="s">
        <v>182</v>
      </c>
    </row>
    <row r="7" spans="1:2" ht="15">
      <c r="A7" s="173" t="s">
        <v>174</v>
      </c>
      <c r="B7" s="220"/>
    </row>
    <row r="8" ht="15">
      <c r="B8" s="220" t="s">
        <v>172</v>
      </c>
    </row>
    <row r="9" ht="15">
      <c r="A9" s="173" t="s">
        <v>140</v>
      </c>
    </row>
    <row r="10" ht="15">
      <c r="B10" s="173" t="s">
        <v>144</v>
      </c>
    </row>
    <row r="11" ht="15">
      <c r="B11" s="173" t="s">
        <v>141</v>
      </c>
    </row>
    <row r="12" ht="15">
      <c r="A12" s="173" t="s">
        <v>143</v>
      </c>
    </row>
    <row r="13" ht="15">
      <c r="B13" s="217" t="s">
        <v>170</v>
      </c>
    </row>
    <row r="14" spans="1:4" s="217" customFormat="1" ht="15">
      <c r="A14" s="173" t="s">
        <v>169</v>
      </c>
      <c r="D14" s="218"/>
    </row>
    <row r="15" spans="1:4" s="217" customFormat="1" ht="15">
      <c r="A15" s="173" t="s">
        <v>173</v>
      </c>
      <c r="D15" s="218"/>
    </row>
    <row r="16" spans="1:7" s="217" customFormat="1" ht="15">
      <c r="A16" s="217" t="s">
        <v>175</v>
      </c>
      <c r="G16" s="217" t="s">
        <v>139</v>
      </c>
    </row>
    <row r="17" spans="1:11" s="251" customFormat="1" ht="15.75">
      <c r="A17" s="222" t="s">
        <v>126</v>
      </c>
      <c r="B17" s="223"/>
      <c r="D17" s="258">
        <v>36714</v>
      </c>
      <c r="E17" s="259"/>
      <c r="F17" s="224" t="s">
        <v>1</v>
      </c>
      <c r="G17" s="225" t="s">
        <v>189</v>
      </c>
      <c r="H17" s="226" t="s">
        <v>168</v>
      </c>
      <c r="I17" s="226"/>
      <c r="J17" s="226"/>
      <c r="K17" s="226"/>
    </row>
    <row r="18" spans="1:11" s="217" customFormat="1" ht="15">
      <c r="A18" s="227" t="s">
        <v>122</v>
      </c>
      <c r="B18" s="51"/>
      <c r="C18" s="51"/>
      <c r="D18" s="172"/>
      <c r="E18" s="51"/>
      <c r="F18" s="51"/>
      <c r="G18" s="171"/>
      <c r="H18" s="133"/>
      <c r="I18" s="133"/>
      <c r="J18" s="133"/>
      <c r="K18" s="49"/>
    </row>
    <row r="19" spans="1:11" ht="15">
      <c r="A19" s="23"/>
      <c r="B19" s="255" t="s">
        <v>70</v>
      </c>
      <c r="C19" s="256"/>
      <c r="D19" s="256"/>
      <c r="E19" s="256"/>
      <c r="F19" s="256"/>
      <c r="G19" s="256"/>
      <c r="H19" s="256"/>
      <c r="I19" s="256"/>
      <c r="J19" s="256"/>
      <c r="K19" s="256"/>
    </row>
    <row r="20" spans="1:11" ht="15">
      <c r="A20" s="24" t="s">
        <v>117</v>
      </c>
      <c r="B20" s="22" t="s">
        <v>71</v>
      </c>
      <c r="C20" s="22"/>
      <c r="D20" s="21"/>
      <c r="E20" s="22"/>
      <c r="F20" s="22"/>
      <c r="G20" s="28"/>
      <c r="H20" s="23"/>
      <c r="I20" s="23"/>
      <c r="J20" s="23"/>
      <c r="K20" s="23"/>
    </row>
    <row r="21" spans="1:11" ht="15">
      <c r="A21" s="24" t="s">
        <v>117</v>
      </c>
      <c r="B21" s="22" t="s">
        <v>72</v>
      </c>
      <c r="C21" s="22"/>
      <c r="D21" s="21"/>
      <c r="E21" s="22"/>
      <c r="F21" s="22"/>
      <c r="G21" s="28"/>
      <c r="H21" s="23"/>
      <c r="I21" s="23"/>
      <c r="J21" s="23"/>
      <c r="K21" s="23"/>
    </row>
    <row r="22" spans="1:11" ht="15">
      <c r="A22" s="28"/>
      <c r="B22" s="26" t="s">
        <v>94</v>
      </c>
      <c r="C22" s="26"/>
      <c r="D22" s="21"/>
      <c r="E22" s="22"/>
      <c r="F22" s="22"/>
      <c r="G22" s="28"/>
      <c r="H22" s="23"/>
      <c r="I22" s="23"/>
      <c r="J22" s="23"/>
      <c r="K22" s="23"/>
    </row>
    <row r="23" spans="1:11" ht="15">
      <c r="A23" s="28"/>
      <c r="B23" s="22" t="s">
        <v>91</v>
      </c>
      <c r="C23" s="26"/>
      <c r="D23" s="21"/>
      <c r="E23" s="22"/>
      <c r="F23" s="22"/>
      <c r="G23" s="28"/>
      <c r="H23" s="23"/>
      <c r="I23" s="23"/>
      <c r="J23" s="23"/>
      <c r="K23" s="23"/>
    </row>
    <row r="24" spans="1:11" ht="15">
      <c r="A24" s="28"/>
      <c r="B24" s="22" t="s">
        <v>90</v>
      </c>
      <c r="C24" s="26"/>
      <c r="D24" s="21"/>
      <c r="E24" s="22"/>
      <c r="F24" s="22"/>
      <c r="G24" s="28"/>
      <c r="H24" s="23"/>
      <c r="I24" s="23"/>
      <c r="J24" s="23"/>
      <c r="K24" s="23"/>
    </row>
    <row r="25" spans="2:11" ht="15">
      <c r="B25" s="22" t="s">
        <v>93</v>
      </c>
      <c r="C25" s="26"/>
      <c r="D25" s="21"/>
      <c r="E25" s="22"/>
      <c r="F25" s="22"/>
      <c r="G25" s="28"/>
      <c r="H25" s="23"/>
      <c r="I25" s="23"/>
      <c r="J25" s="23"/>
      <c r="K25" s="23"/>
    </row>
    <row r="26" spans="2:11" ht="15">
      <c r="B26" s="22" t="s">
        <v>92</v>
      </c>
      <c r="C26" s="26"/>
      <c r="D26" s="21"/>
      <c r="E26" s="22"/>
      <c r="F26" s="22"/>
      <c r="G26" s="28"/>
      <c r="H26" s="23"/>
      <c r="I26" s="23"/>
      <c r="J26" s="23"/>
      <c r="K26" s="23"/>
    </row>
    <row r="27" spans="1:11" ht="15">
      <c r="A27" s="24" t="s">
        <v>117</v>
      </c>
      <c r="B27" s="22" t="s">
        <v>118</v>
      </c>
      <c r="C27" s="22"/>
      <c r="D27" s="21"/>
      <c r="E27" s="22"/>
      <c r="F27" s="22"/>
      <c r="G27" s="28"/>
      <c r="H27" s="23"/>
      <c r="I27" s="23"/>
      <c r="J27" s="23"/>
      <c r="K27" s="23"/>
    </row>
    <row r="28" spans="1:11" ht="15">
      <c r="A28" s="28"/>
      <c r="B28" s="22" t="s">
        <v>119</v>
      </c>
      <c r="C28" s="22"/>
      <c r="D28" s="21"/>
      <c r="E28" s="22"/>
      <c r="F28" s="22"/>
      <c r="G28" s="28"/>
      <c r="H28" s="23"/>
      <c r="I28" s="23"/>
      <c r="J28" s="23"/>
      <c r="K28" s="23"/>
    </row>
    <row r="29" spans="1:11" ht="15">
      <c r="A29" s="24" t="s">
        <v>117</v>
      </c>
      <c r="B29" s="148" t="s">
        <v>116</v>
      </c>
      <c r="C29" s="22"/>
      <c r="D29" s="21"/>
      <c r="E29" s="22"/>
      <c r="F29" s="22"/>
      <c r="G29" s="28"/>
      <c r="H29" s="23"/>
      <c r="I29" s="23"/>
      <c r="J29" s="23"/>
      <c r="K29" s="23"/>
    </row>
    <row r="30" spans="1:11" ht="15">
      <c r="A30" s="24" t="s">
        <v>117</v>
      </c>
      <c r="B30" s="148" t="s">
        <v>115</v>
      </c>
      <c r="C30" s="148"/>
      <c r="D30" s="148"/>
      <c r="E30" s="148"/>
      <c r="F30" s="148"/>
      <c r="G30" s="148"/>
      <c r="H30" s="148"/>
      <c r="I30" s="148"/>
      <c r="J30" s="148"/>
      <c r="K30" s="148"/>
    </row>
    <row r="31" spans="1:11" ht="15">
      <c r="A31" s="24" t="s">
        <v>117</v>
      </c>
      <c r="B31" s="148" t="s">
        <v>114</v>
      </c>
      <c r="C31" s="148"/>
      <c r="D31" s="148"/>
      <c r="E31" s="148"/>
      <c r="F31" s="148"/>
      <c r="G31" s="148"/>
      <c r="H31" s="148"/>
      <c r="I31" s="148"/>
      <c r="J31" s="148"/>
      <c r="K31" s="148"/>
    </row>
    <row r="32" spans="1:11" ht="15">
      <c r="A32" s="29" t="s">
        <v>146</v>
      </c>
      <c r="C32" s="148"/>
      <c r="D32" s="148"/>
      <c r="E32" s="148"/>
      <c r="F32" s="148"/>
      <c r="G32" s="148"/>
      <c r="H32" s="148"/>
      <c r="I32" s="148"/>
      <c r="J32" s="148"/>
      <c r="K32" s="148"/>
    </row>
    <row r="33" spans="1:11" ht="15">
      <c r="A33" s="23"/>
      <c r="B33" s="255" t="s">
        <v>123</v>
      </c>
      <c r="C33" s="257"/>
      <c r="D33" s="257"/>
      <c r="E33" s="257"/>
      <c r="F33" s="257"/>
      <c r="G33" s="257"/>
      <c r="H33" s="257"/>
      <c r="I33" s="257"/>
      <c r="J33" s="257"/>
      <c r="K33" s="257"/>
    </row>
    <row r="34" spans="1:2" ht="15">
      <c r="A34" s="24" t="s">
        <v>117</v>
      </c>
      <c r="B34" s="173" t="s">
        <v>125</v>
      </c>
    </row>
    <row r="35" ht="15">
      <c r="B35" s="173" t="s">
        <v>124</v>
      </c>
    </row>
    <row r="36" spans="1:2" ht="15">
      <c r="A36" s="24" t="s">
        <v>117</v>
      </c>
      <c r="B36" s="173" t="s">
        <v>138</v>
      </c>
    </row>
    <row r="37" spans="1:2" ht="15">
      <c r="A37" s="24" t="s">
        <v>117</v>
      </c>
      <c r="B37" s="173" t="s">
        <v>137</v>
      </c>
    </row>
    <row r="38" ht="15">
      <c r="A38" s="29" t="s">
        <v>147</v>
      </c>
    </row>
    <row r="39" spans="1:2" ht="15">
      <c r="A39" s="24" t="s">
        <v>117</v>
      </c>
      <c r="B39" s="173" t="s">
        <v>151</v>
      </c>
    </row>
    <row r="40" spans="1:2" ht="15">
      <c r="A40" s="24" t="s">
        <v>117</v>
      </c>
      <c r="B40" s="173" t="s">
        <v>150</v>
      </c>
    </row>
    <row r="41" spans="1:2" ht="15">
      <c r="A41" s="24" t="s">
        <v>117</v>
      </c>
      <c r="B41" s="173" t="s">
        <v>165</v>
      </c>
    </row>
    <row r="42" spans="1:2" ht="15">
      <c r="A42" s="24" t="s">
        <v>117</v>
      </c>
      <c r="B42" s="173" t="s">
        <v>166</v>
      </c>
    </row>
    <row r="43" ht="15">
      <c r="A43" s="173" t="s">
        <v>187</v>
      </c>
    </row>
    <row r="44" spans="1:2" ht="15">
      <c r="A44" s="228" t="s">
        <v>117</v>
      </c>
      <c r="B44" s="173" t="s">
        <v>188</v>
      </c>
    </row>
  </sheetData>
  <mergeCells count="3">
    <mergeCell ref="B19:K19"/>
    <mergeCell ref="B33:K33"/>
    <mergeCell ref="D17:E17"/>
  </mergeCells>
  <hyperlinks>
    <hyperlink ref="B19" r:id="rId1" display="http://grouper.ieee.org/groups/802/3/10G_study/public/email_attach/All_1250.xls"/>
    <hyperlink ref="B33" r:id="rId2" display="http://grouper.ieee.org/groups/802/3/10G_study/public/email_attach/All_1250.xls"/>
    <hyperlink ref="B33:K33" r:id="rId3" display="http://grouper.ieee.org/groups/802/3/10G_study/public/email_attach/All_1250v2.xls"/>
    <hyperlink ref="B8" r:id="rId4" display="http://www.ieee802.org/3/ae/public/may00/hanson_1_0500.pdf"/>
    <hyperlink ref="C2" r:id="rId5" display="http://www.ieee802.org/3/10G_study/public/email_attach/3pmd046.xls"/>
    <hyperlink ref="B5" r:id="rId6" display="http://grouper.ieee.org/groups/802/3/ae/public/may00/kolesar_1_0500.pdf"/>
  </hyperlinks>
  <printOptions horizontalCentered="1"/>
  <pageMargins left="0.5" right="0.5" top="0.5" bottom="0.6" header="0.3" footer="0.4"/>
  <pageSetup fitToHeight="1" fitToWidth="1" horizontalDpi="600" verticalDpi="600" orientation="landscape" scale="82" r:id="rId7"/>
  <headerFooter alignWithMargins="0">
    <oddHeader xml:space="preserve">&amp;CSpreadsheet by Agilent Technologies&amp;R </oddHeader>
    <oddFooter>&amp;L&amp;F tab &amp;A page &amp;P of &amp;N&amp;RPrinted &amp;T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7"/>
  <sheetViews>
    <sheetView showGridLines="0" showOutlineSymbols="0" zoomScale="70" zoomScaleNormal="70" workbookViewId="0" topLeftCell="A1">
      <selection activeCell="A3" sqref="A3"/>
    </sheetView>
  </sheetViews>
  <sheetFormatPr defaultColWidth="9.140625" defaultRowHeight="12.75"/>
  <cols>
    <col min="1" max="1" width="10.7109375" style="5" customWidth="1"/>
    <col min="2" max="3" width="10.8515625" style="5" customWidth="1"/>
    <col min="4" max="4" width="9.7109375" style="5" customWidth="1"/>
    <col min="5" max="5" width="10.7109375" style="5" customWidth="1"/>
    <col min="6" max="6" width="6.57421875" style="5" customWidth="1"/>
    <col min="7" max="8" width="6.7109375" style="5" customWidth="1"/>
    <col min="9" max="9" width="7.28125" style="5" customWidth="1"/>
    <col min="10" max="10" width="7.7109375" style="5" customWidth="1"/>
    <col min="11" max="11" width="7.28125" style="5" customWidth="1"/>
    <col min="12" max="12" width="6.57421875" style="5" customWidth="1"/>
    <col min="13" max="14" width="6.28125" style="5" customWidth="1"/>
    <col min="15" max="17" width="7.7109375" style="5" customWidth="1"/>
    <col min="18" max="18" width="8.421875" style="56" customWidth="1"/>
    <col min="19" max="19" width="6.57421875" style="5" customWidth="1"/>
    <col min="20" max="20" width="7.28125" style="7" customWidth="1"/>
    <col min="21" max="21" width="7.421875" style="5" customWidth="1"/>
    <col min="22" max="22" width="7.7109375" style="5" customWidth="1"/>
    <col min="23" max="23" width="11.140625" style="10" customWidth="1"/>
    <col min="24" max="24" width="8.8515625" style="10" customWidth="1"/>
    <col min="25" max="25" width="8.140625" style="5" customWidth="1"/>
    <col min="26" max="26" width="7.57421875" style="5" customWidth="1"/>
    <col min="27" max="27" width="10.00390625" style="166" customWidth="1"/>
    <col min="28" max="28" width="6.00390625" style="5" customWidth="1"/>
    <col min="29" max="29" width="6.7109375" style="5" customWidth="1"/>
    <col min="30" max="30" width="7.140625" style="5" customWidth="1"/>
    <col min="31" max="32" width="10.00390625" style="5" customWidth="1"/>
    <col min="33" max="16384" width="11.140625" style="5" customWidth="1"/>
  </cols>
  <sheetData>
    <row r="1" spans="1:32" s="133" customFormat="1" ht="15">
      <c r="A1" s="130" t="s">
        <v>121</v>
      </c>
      <c r="B1" s="113"/>
      <c r="C1" s="113"/>
      <c r="D1" s="113"/>
      <c r="E1" s="117"/>
      <c r="F1" s="117"/>
      <c r="G1" s="117"/>
      <c r="H1" s="117"/>
      <c r="I1" s="117"/>
      <c r="J1" s="117"/>
      <c r="K1" s="117"/>
      <c r="L1" s="131" t="s">
        <v>76</v>
      </c>
      <c r="M1" s="113" t="s">
        <v>184</v>
      </c>
      <c r="N1" s="117"/>
      <c r="O1" s="138" t="s">
        <v>185</v>
      </c>
      <c r="P1" s="260">
        <f>Notes!D17</f>
        <v>36714</v>
      </c>
      <c r="Q1" s="261"/>
      <c r="R1" s="224" t="s">
        <v>1</v>
      </c>
      <c r="S1" s="230"/>
      <c r="T1" s="234" t="s">
        <v>145</v>
      </c>
      <c r="U1" s="230" t="str">
        <f>Notes!A1</f>
        <v>5pmd047.xls</v>
      </c>
      <c r="V1" s="223"/>
      <c r="W1" s="231">
        <f>Notes!D1</f>
        <v>36714</v>
      </c>
      <c r="Z1" s="51"/>
      <c r="AA1" s="164"/>
      <c r="AB1" s="226"/>
      <c r="AC1" s="51"/>
      <c r="AD1" s="51"/>
      <c r="AE1" s="51"/>
      <c r="AF1" s="51"/>
    </row>
    <row r="2" spans="1:32" ht="15.75">
      <c r="A2" s="62" t="s">
        <v>2</v>
      </c>
      <c r="B2" s="121" t="s">
        <v>3</v>
      </c>
      <c r="C2" s="73"/>
      <c r="D2" s="65"/>
      <c r="E2" s="73"/>
      <c r="F2" s="73"/>
      <c r="G2" s="62"/>
      <c r="H2" s="61"/>
      <c r="I2" s="65" t="s">
        <v>104</v>
      </c>
      <c r="J2" s="137">
        <v>0.3</v>
      </c>
      <c r="K2" s="61" t="s">
        <v>105</v>
      </c>
      <c r="L2" s="61"/>
      <c r="M2" s="73"/>
      <c r="N2" s="61"/>
      <c r="O2" s="62" t="s">
        <v>110</v>
      </c>
      <c r="P2" s="146">
        <f>1000000/$P$6</f>
        <v>88.96969696969697</v>
      </c>
      <c r="Q2" s="61" t="s">
        <v>99</v>
      </c>
      <c r="R2" s="250" t="str">
        <f>Notes!G17</f>
        <v>2.3.5</v>
      </c>
      <c r="S2" s="46"/>
      <c r="T2" s="235"/>
      <c r="U2" s="46"/>
      <c r="V2" s="232" t="s">
        <v>1</v>
      </c>
      <c r="W2" s="233" t="str">
        <f>Notes!F1</f>
        <v>0.4.7</v>
      </c>
      <c r="X2" s="6"/>
      <c r="Y2" s="1"/>
      <c r="Z2" s="1"/>
      <c r="AA2" s="165"/>
      <c r="AB2" s="66"/>
      <c r="AC2" s="1"/>
      <c r="AD2" s="1"/>
      <c r="AE2" s="1"/>
      <c r="AF2" s="1"/>
    </row>
    <row r="3" spans="1:32" ht="15" customHeight="1">
      <c r="A3" s="73"/>
      <c r="B3" s="73"/>
      <c r="C3" s="73"/>
      <c r="D3" s="65" t="s">
        <v>5</v>
      </c>
      <c r="E3" s="152">
        <v>2000</v>
      </c>
      <c r="F3" s="61"/>
      <c r="G3" s="61"/>
      <c r="H3" s="73"/>
      <c r="I3" s="62" t="s">
        <v>107</v>
      </c>
      <c r="J3" s="120">
        <v>0.015</v>
      </c>
      <c r="K3" s="73" t="s">
        <v>105</v>
      </c>
      <c r="L3" s="61"/>
      <c r="M3" s="73"/>
      <c r="N3" s="61"/>
      <c r="O3" s="62" t="s">
        <v>4</v>
      </c>
      <c r="P3" s="49">
        <f>IF($B$4&gt;1000,$E$6/1.5,$E$6/3.5)</f>
        <v>1</v>
      </c>
      <c r="Q3" s="61"/>
      <c r="R3" s="81"/>
      <c r="S3" s="85"/>
      <c r="T3" s="82"/>
      <c r="U3" s="67"/>
      <c r="V3" s="73"/>
      <c r="W3" s="66"/>
      <c r="X3" s="6"/>
      <c r="Y3" s="1"/>
      <c r="Z3" s="1"/>
      <c r="AA3" s="165"/>
      <c r="AB3" s="84"/>
      <c r="AC3" s="1"/>
      <c r="AD3" s="1"/>
      <c r="AE3" s="1"/>
      <c r="AF3" s="1"/>
    </row>
    <row r="4" spans="1:32" ht="15" customHeight="1">
      <c r="A4" s="62" t="s">
        <v>55</v>
      </c>
      <c r="B4" s="86">
        <v>840</v>
      </c>
      <c r="C4" s="73"/>
      <c r="D4" s="65" t="s">
        <v>9</v>
      </c>
      <c r="E4" s="83">
        <v>0.11</v>
      </c>
      <c r="F4" s="61"/>
      <c r="G4" s="61"/>
      <c r="H4" s="73"/>
      <c r="I4" s="62" t="s">
        <v>108</v>
      </c>
      <c r="J4" s="219">
        <v>0.015</v>
      </c>
      <c r="K4" s="61" t="s">
        <v>105</v>
      </c>
      <c r="L4" s="61"/>
      <c r="M4" s="61"/>
      <c r="N4" s="61"/>
      <c r="O4" s="62" t="s">
        <v>6</v>
      </c>
      <c r="P4" s="146">
        <f>B7*1.518</f>
        <v>47.817</v>
      </c>
      <c r="Q4" s="73" t="s">
        <v>99</v>
      </c>
      <c r="R4" s="87" t="s">
        <v>7</v>
      </c>
      <c r="S4" s="85"/>
      <c r="T4" s="82"/>
      <c r="U4" s="67"/>
      <c r="V4" s="73"/>
      <c r="W4" s="66"/>
      <c r="X4" s="6"/>
      <c r="Y4" s="1"/>
      <c r="Z4" s="1"/>
      <c r="AA4" s="165"/>
      <c r="AB4" s="85"/>
      <c r="AC4" s="1"/>
      <c r="AD4" s="1"/>
      <c r="AE4" s="1"/>
      <c r="AF4" s="1"/>
    </row>
    <row r="5" spans="1:32" ht="15" customHeight="1">
      <c r="A5" s="62" t="s">
        <v>8</v>
      </c>
      <c r="B5" s="88">
        <v>0.35</v>
      </c>
      <c r="C5" s="73"/>
      <c r="D5" s="65" t="s">
        <v>56</v>
      </c>
      <c r="E5" s="83">
        <v>1320</v>
      </c>
      <c r="F5" s="61"/>
      <c r="G5" s="61"/>
      <c r="H5" s="73"/>
      <c r="I5" s="62" t="s">
        <v>12</v>
      </c>
      <c r="J5" s="89">
        <v>480</v>
      </c>
      <c r="K5" s="61" t="s">
        <v>103</v>
      </c>
      <c r="L5" s="73"/>
      <c r="M5" s="67"/>
      <c r="N5" s="61"/>
      <c r="O5" s="62" t="s">
        <v>10</v>
      </c>
      <c r="P5" s="97">
        <v>0.7</v>
      </c>
      <c r="Q5" s="61"/>
      <c r="R5" s="87" t="s">
        <v>11</v>
      </c>
      <c r="S5" s="81"/>
      <c r="T5" s="82"/>
      <c r="U5" s="67"/>
      <c r="V5" s="73"/>
      <c r="W5" s="66"/>
      <c r="X5" s="6"/>
      <c r="Y5" s="1"/>
      <c r="Z5" s="1"/>
      <c r="AA5" s="165"/>
      <c r="AB5" s="85"/>
      <c r="AC5" s="1"/>
      <c r="AD5" s="1"/>
      <c r="AE5" s="1"/>
      <c r="AF5" s="1"/>
    </row>
    <row r="6" spans="1:32" ht="15" customHeight="1">
      <c r="A6" s="62" t="s">
        <v>74</v>
      </c>
      <c r="B6" s="83">
        <v>6.5</v>
      </c>
      <c r="C6" s="73" t="s">
        <v>63</v>
      </c>
      <c r="D6" s="65" t="s">
        <v>95</v>
      </c>
      <c r="E6" s="83">
        <v>3.5</v>
      </c>
      <c r="F6" s="61" t="str">
        <f>"dB/km at "&amp;IF(B4&lt;1000,850,1300)&amp;" nm"</f>
        <v>dB/km at 850 nm</v>
      </c>
      <c r="G6" s="61"/>
      <c r="H6" s="73"/>
      <c r="I6" s="62" t="s">
        <v>15</v>
      </c>
      <c r="J6" s="88">
        <v>7.037</v>
      </c>
      <c r="K6" s="61"/>
      <c r="L6" s="61"/>
      <c r="M6" s="67"/>
      <c r="N6" s="61"/>
      <c r="O6" s="65" t="s">
        <v>13</v>
      </c>
      <c r="P6" s="90">
        <f>(P7)</f>
        <v>11239.782016348774</v>
      </c>
      <c r="Q6" s="66"/>
      <c r="R6" s="85"/>
      <c r="S6" s="66" t="s">
        <v>47</v>
      </c>
      <c r="T6" s="52">
        <f>$E$9-$E$10</f>
        <v>6</v>
      </c>
      <c r="U6" s="246" t="s">
        <v>63</v>
      </c>
      <c r="V6" s="73"/>
      <c r="W6" s="66"/>
      <c r="Y6" s="175" t="s">
        <v>127</v>
      </c>
      <c r="Z6" s="176">
        <f>$Z$8*$P$2/(SQRT(8)*$T$9)</f>
        <v>2.0216397800196706</v>
      </c>
      <c r="AA6" s="177" t="s">
        <v>77</v>
      </c>
      <c r="AB6" s="61"/>
      <c r="AC6" s="1"/>
      <c r="AD6" s="1"/>
      <c r="AE6" s="1"/>
      <c r="AF6" s="1"/>
    </row>
    <row r="7" spans="1:32" ht="15" customHeight="1">
      <c r="A7" s="62" t="s">
        <v>14</v>
      </c>
      <c r="B7" s="83">
        <v>31.5</v>
      </c>
      <c r="C7" s="73" t="s">
        <v>99</v>
      </c>
      <c r="D7" s="62" t="s">
        <v>96</v>
      </c>
      <c r="E7" s="155">
        <v>10312.5</v>
      </c>
      <c r="F7" s="73" t="s">
        <v>101</v>
      </c>
      <c r="G7" s="67"/>
      <c r="H7" s="67"/>
      <c r="I7" s="65" t="s">
        <v>100</v>
      </c>
      <c r="J7" s="154">
        <f>2.5*10^5/$E$7</f>
        <v>24.242424242424242</v>
      </c>
      <c r="K7" s="67" t="s">
        <v>99</v>
      </c>
      <c r="L7" s="61"/>
      <c r="M7" s="67"/>
      <c r="N7" s="61"/>
      <c r="O7" s="65" t="s">
        <v>16</v>
      </c>
      <c r="P7" s="91">
        <f>1/((1/$E$7)-$J$8*10^-6)</f>
        <v>11239.782016348774</v>
      </c>
      <c r="Q7" s="66"/>
      <c r="R7" s="85"/>
      <c r="S7" s="93" t="s">
        <v>33</v>
      </c>
      <c r="T7" s="118">
        <f>AE36</f>
        <v>0.2336206395833269</v>
      </c>
      <c r="U7" s="94" t="str">
        <f>"dB at target "&amp;J2&amp;" km"</f>
        <v>dB at target 0.3 km</v>
      </c>
      <c r="V7" s="73"/>
      <c r="W7" s="122"/>
      <c r="Y7" s="175" t="s">
        <v>128</v>
      </c>
      <c r="Z7" s="178">
        <f>IF(ABS($Z$6)&lt;10,SIGN($Z$6)*ERF(ABS($Z$6)),SIGN($Z$6))</f>
        <v>0.9957506191313157</v>
      </c>
      <c r="AA7" s="177" t="s">
        <v>77</v>
      </c>
      <c r="AB7" s="61"/>
      <c r="AC7" s="1"/>
      <c r="AD7" s="1"/>
      <c r="AE7" s="1"/>
      <c r="AF7" s="1"/>
    </row>
    <row r="8" spans="1:32" ht="15" customHeight="1">
      <c r="A8" s="62" t="s">
        <v>86</v>
      </c>
      <c r="B8" s="83">
        <v>-125</v>
      </c>
      <c r="C8" s="105" t="s">
        <v>85</v>
      </c>
      <c r="D8" s="65" t="s">
        <v>97</v>
      </c>
      <c r="E8" s="152">
        <f>0.8*E7</f>
        <v>8250</v>
      </c>
      <c r="F8" s="73" t="s">
        <v>102</v>
      </c>
      <c r="G8" s="67"/>
      <c r="H8" s="61"/>
      <c r="I8" s="65" t="s">
        <v>19</v>
      </c>
      <c r="J8" s="83">
        <v>8</v>
      </c>
      <c r="K8" s="61"/>
      <c r="L8" s="61"/>
      <c r="M8" s="61"/>
      <c r="N8" s="61"/>
      <c r="O8" s="62" t="s">
        <v>17</v>
      </c>
      <c r="P8" s="63">
        <f>(10^-6)*$J$7*$P$7</f>
        <v>0.2724795640326975</v>
      </c>
      <c r="Q8" s="66"/>
      <c r="R8" s="85"/>
      <c r="S8" s="65" t="s">
        <v>112</v>
      </c>
      <c r="T8" s="49">
        <f>$P$3*((1/(0.00094*$B$4)^4)+1.05)</f>
        <v>3.622595119239568</v>
      </c>
      <c r="U8" s="61" t="str">
        <f>"dB/km at "&amp;B4&amp;" nm"</f>
        <v>dB/km at 840 nm</v>
      </c>
      <c r="V8" s="73"/>
      <c r="W8" s="66"/>
      <c r="Y8" s="175" t="s">
        <v>129</v>
      </c>
      <c r="Z8" s="179">
        <v>2.563</v>
      </c>
      <c r="AA8" s="177" t="s">
        <v>77</v>
      </c>
      <c r="AB8" s="61"/>
      <c r="AC8" s="1"/>
      <c r="AD8" s="1"/>
      <c r="AE8" s="1"/>
      <c r="AF8" s="1"/>
    </row>
    <row r="9" spans="1:32" ht="15" customHeight="1">
      <c r="A9" s="62" t="s">
        <v>18</v>
      </c>
      <c r="B9" s="83">
        <v>0.5</v>
      </c>
      <c r="C9" s="73"/>
      <c r="D9" s="65" t="s">
        <v>67</v>
      </c>
      <c r="E9" s="83">
        <v>7.5</v>
      </c>
      <c r="F9" s="73"/>
      <c r="G9" s="73"/>
      <c r="H9" s="61"/>
      <c r="I9" s="65" t="s">
        <v>22</v>
      </c>
      <c r="J9" s="129">
        <v>-5.5</v>
      </c>
      <c r="K9" s="67"/>
      <c r="L9" s="61"/>
      <c r="M9" s="67"/>
      <c r="N9" s="61"/>
      <c r="O9" s="62" t="s">
        <v>20</v>
      </c>
      <c r="P9" s="92">
        <f>(P8)</f>
        <v>0.2724795640326975</v>
      </c>
      <c r="Q9" s="66"/>
      <c r="R9" s="85"/>
      <c r="S9" s="93" t="s">
        <v>73</v>
      </c>
      <c r="T9" s="145">
        <f>T10*1000/$E$8</f>
        <v>39.878787878787875</v>
      </c>
      <c r="U9" s="94" t="s">
        <v>99</v>
      </c>
      <c r="V9" s="32"/>
      <c r="W9" s="41"/>
      <c r="Y9" s="180" t="s">
        <v>98</v>
      </c>
      <c r="Z9" s="202">
        <f>ERF(MAX(MIN($Z$8*$P$2*($P$9+1)/(SQRT(8)*$T$9),10),-10))+ERF(MAX(MIN($Z$8*$P$2*(1-$P$9)/(SQRT(8)*$T$9),10),-10))-1</f>
        <v>0.9622000369540826</v>
      </c>
      <c r="AA9" s="181" t="s">
        <v>77</v>
      </c>
      <c r="AB9" s="61"/>
      <c r="AC9" s="1"/>
      <c r="AD9" s="1"/>
      <c r="AE9" s="1"/>
      <c r="AF9" s="1"/>
    </row>
    <row r="10" spans="1:32" ht="15" customHeight="1">
      <c r="A10" s="62" t="s">
        <v>21</v>
      </c>
      <c r="B10" s="83">
        <v>0.3</v>
      </c>
      <c r="C10" s="73"/>
      <c r="D10" s="65" t="s">
        <v>68</v>
      </c>
      <c r="E10" s="83">
        <v>1.5</v>
      </c>
      <c r="F10" s="73"/>
      <c r="G10" s="62"/>
      <c r="H10" s="61"/>
      <c r="I10" s="62" t="s">
        <v>26</v>
      </c>
      <c r="J10" s="119">
        <v>6.5</v>
      </c>
      <c r="K10" s="61"/>
      <c r="L10" s="61"/>
      <c r="M10" s="67"/>
      <c r="N10" s="61"/>
      <c r="O10" s="62" t="s">
        <v>23</v>
      </c>
      <c r="P10" s="49">
        <f>S35-$T$6</f>
        <v>0.25040074583411265</v>
      </c>
      <c r="Q10" s="67" t="s">
        <v>24</v>
      </c>
      <c r="R10" s="85"/>
      <c r="S10" s="211" t="s">
        <v>171</v>
      </c>
      <c r="T10" s="247">
        <v>329</v>
      </c>
      <c r="U10" s="248" t="s">
        <v>103</v>
      </c>
      <c r="V10" s="73"/>
      <c r="W10" s="106" t="s">
        <v>25</v>
      </c>
      <c r="X10" s="66"/>
      <c r="Y10" s="61"/>
      <c r="Z10" s="73"/>
      <c r="AA10" s="158"/>
      <c r="AB10" s="61"/>
      <c r="AC10" s="1"/>
      <c r="AD10" s="1"/>
      <c r="AE10" s="1"/>
      <c r="AF10" s="1"/>
    </row>
    <row r="11" spans="1:32" ht="15" customHeight="1">
      <c r="A11" s="32"/>
      <c r="B11" s="32"/>
      <c r="C11" s="32"/>
      <c r="D11" s="33"/>
      <c r="E11" s="33"/>
      <c r="F11" s="33"/>
      <c r="G11" s="33"/>
      <c r="H11" s="33"/>
      <c r="I11" s="34" t="s">
        <v>75</v>
      </c>
      <c r="J11" s="35">
        <v>0.025</v>
      </c>
      <c r="K11" s="36" t="s">
        <v>66</v>
      </c>
      <c r="L11" s="37"/>
      <c r="M11" s="37"/>
      <c r="N11" s="33"/>
      <c r="O11" s="38" t="s">
        <v>62</v>
      </c>
      <c r="P11" s="39">
        <f>10*LOG10(1/SQRT(1-($J$6*J11)^2))</f>
        <v>0.0682681868313477</v>
      </c>
      <c r="Q11" s="36" t="s">
        <v>63</v>
      </c>
      <c r="R11" s="57"/>
      <c r="S11" s="38" t="s">
        <v>61</v>
      </c>
      <c r="T11" s="40">
        <f>10*LOG10(1/SQRT(1-($J$6*$J$11/$Z$9)^2))</f>
        <v>0.07383136780525705</v>
      </c>
      <c r="U11" s="249" t="s">
        <v>63</v>
      </c>
      <c r="V11" s="73"/>
      <c r="W11" s="95" t="s">
        <v>27</v>
      </c>
      <c r="X11" s="6" t="s">
        <v>28</v>
      </c>
      <c r="Y11" s="12" t="s">
        <v>34</v>
      </c>
      <c r="Z11" s="12" t="s">
        <v>29</v>
      </c>
      <c r="AA11" s="159" t="s">
        <v>78</v>
      </c>
      <c r="AB11" s="61"/>
      <c r="AC11" s="1"/>
      <c r="AD11" s="1"/>
      <c r="AE11" s="1"/>
      <c r="AF11" s="1"/>
    </row>
    <row r="12" spans="1:35" ht="15" customHeight="1">
      <c r="A12" s="123" t="s">
        <v>88</v>
      </c>
      <c r="B12" s="66" t="s">
        <v>57</v>
      </c>
      <c r="C12" s="66" t="s">
        <v>36</v>
      </c>
      <c r="D12" s="72" t="s">
        <v>80</v>
      </c>
      <c r="E12" s="72" t="s">
        <v>81</v>
      </c>
      <c r="F12" s="73" t="s">
        <v>82</v>
      </c>
      <c r="G12" s="73" t="s">
        <v>83</v>
      </c>
      <c r="H12" s="64" t="s">
        <v>37</v>
      </c>
      <c r="I12" s="65" t="s">
        <v>38</v>
      </c>
      <c r="J12" s="66" t="s">
        <v>39</v>
      </c>
      <c r="K12" s="67" t="s">
        <v>40</v>
      </c>
      <c r="L12" s="65" t="s">
        <v>41</v>
      </c>
      <c r="M12" s="65" t="s">
        <v>42</v>
      </c>
      <c r="N12" s="65" t="s">
        <v>43</v>
      </c>
      <c r="O12" s="68" t="s">
        <v>79</v>
      </c>
      <c r="P12" s="65" t="s">
        <v>44</v>
      </c>
      <c r="Q12" s="65" t="s">
        <v>45</v>
      </c>
      <c r="R12" s="69" t="s">
        <v>46</v>
      </c>
      <c r="S12" s="70" t="s">
        <v>48</v>
      </c>
      <c r="T12" s="68" t="s">
        <v>49</v>
      </c>
      <c r="U12" s="67" t="s">
        <v>50</v>
      </c>
      <c r="V12" s="71" t="s">
        <v>33</v>
      </c>
      <c r="W12" s="243" t="s">
        <v>32</v>
      </c>
      <c r="X12" s="6" t="s">
        <v>33</v>
      </c>
      <c r="Y12" s="10" t="s">
        <v>89</v>
      </c>
      <c r="Z12" s="6" t="s">
        <v>35</v>
      </c>
      <c r="AA12" s="159" t="s">
        <v>65</v>
      </c>
      <c r="AB12" s="66" t="s">
        <v>47</v>
      </c>
      <c r="AC12" s="165" t="s">
        <v>136</v>
      </c>
      <c r="AD12" s="1"/>
      <c r="AE12" s="153" t="s">
        <v>113</v>
      </c>
      <c r="AF12" s="182" t="s">
        <v>130</v>
      </c>
      <c r="AG12" s="189" t="s">
        <v>131</v>
      </c>
      <c r="AH12" s="166" t="s">
        <v>132</v>
      </c>
      <c r="AI12" s="166" t="s">
        <v>133</v>
      </c>
    </row>
    <row r="13" spans="1:35" s="33" customFormat="1" ht="15" customHeight="1">
      <c r="A13" s="124" t="s">
        <v>87</v>
      </c>
      <c r="B13" s="42" t="s">
        <v>58</v>
      </c>
      <c r="C13" s="42" t="s">
        <v>58</v>
      </c>
      <c r="D13" s="43" t="s">
        <v>84</v>
      </c>
      <c r="E13" s="43" t="s">
        <v>84</v>
      </c>
      <c r="F13" s="32" t="s">
        <v>109</v>
      </c>
      <c r="G13" s="32" t="s">
        <v>109</v>
      </c>
      <c r="H13" s="44" t="s">
        <v>30</v>
      </c>
      <c r="I13" s="45" t="s">
        <v>30</v>
      </c>
      <c r="J13" s="32"/>
      <c r="K13" s="46"/>
      <c r="L13" s="45" t="s">
        <v>30</v>
      </c>
      <c r="M13" s="45"/>
      <c r="N13" s="45" t="s">
        <v>30</v>
      </c>
      <c r="O13" s="45" t="s">
        <v>30</v>
      </c>
      <c r="P13" s="45" t="s">
        <v>30</v>
      </c>
      <c r="Q13" s="45" t="s">
        <v>30</v>
      </c>
      <c r="R13" s="58" t="s">
        <v>30</v>
      </c>
      <c r="S13" s="46" t="s">
        <v>30</v>
      </c>
      <c r="T13" s="47" t="s">
        <v>30</v>
      </c>
      <c r="U13" s="47" t="s">
        <v>31</v>
      </c>
      <c r="V13" s="48" t="s">
        <v>30</v>
      </c>
      <c r="W13" s="96" t="s">
        <v>51</v>
      </c>
      <c r="X13" s="42" t="s">
        <v>52</v>
      </c>
      <c r="Y13" s="42" t="s">
        <v>30</v>
      </c>
      <c r="Z13" s="42" t="s">
        <v>53</v>
      </c>
      <c r="AA13" s="160" t="s">
        <v>64</v>
      </c>
      <c r="AB13" s="42" t="s">
        <v>30</v>
      </c>
      <c r="AC13" s="139" t="s">
        <v>135</v>
      </c>
      <c r="AD13" s="140" t="s">
        <v>106</v>
      </c>
      <c r="AE13" s="140" t="s">
        <v>134</v>
      </c>
      <c r="AF13" s="183" t="s">
        <v>64</v>
      </c>
      <c r="AG13" s="190" t="s">
        <v>64</v>
      </c>
      <c r="AH13" s="190" t="s">
        <v>64</v>
      </c>
      <c r="AI13" s="190" t="s">
        <v>64</v>
      </c>
    </row>
    <row r="14" spans="1:35" s="117" customFormat="1" ht="15" customHeight="1">
      <c r="A14" s="125">
        <v>0.002</v>
      </c>
      <c r="B14" s="110">
        <f aca="true" t="shared" si="0" ref="B14:B35">0.25*$E$4*$B$4*(1-($E$5/$B$4)^4)</f>
        <v>-117.7609329446064</v>
      </c>
      <c r="C14" s="132">
        <f aca="true" t="shared" si="1" ref="C14:C35">0.7*$E$4*$B$5</f>
        <v>0.026949999999999998</v>
      </c>
      <c r="D14" s="111">
        <f aca="true" t="shared" si="2" ref="D14:D35">(0.187/(A14*$B$5))*(10^6/SQRT(B14^2+C14^2))</f>
        <v>2268518.45911292</v>
      </c>
      <c r="E14" s="111">
        <f aca="true" t="shared" si="3" ref="E14:E35">$E$3/A14</f>
        <v>1000000</v>
      </c>
      <c r="F14" s="147">
        <f>SQRT(($J$5/D14)^2+($J$5/E14)^2+$P$4^2)</f>
        <v>47.817000002877336</v>
      </c>
      <c r="G14" s="147">
        <f aca="true" t="shared" si="4" ref="G14:G35">SQRT(F14^2+$T$9^2)</f>
        <v>62.2638194456181</v>
      </c>
      <c r="H14" s="112">
        <f aca="true" t="shared" si="5" ref="H14:H35">-10*LOG10(2*AG14-1)</f>
        <v>0.6255986485247766</v>
      </c>
      <c r="I14" s="110">
        <f aca="true" t="shared" si="6" ref="I14:I35">A14*$P$3*((1/(0.00094*$B$4)^4)+1.05)</f>
        <v>0.007245190238479136</v>
      </c>
      <c r="J14" s="113">
        <f aca="true" t="shared" si="7" ref="J14:J35">(10^-6)*3.14*$E$7*B14*A14*$B$5</f>
        <v>-0.002669272346938775</v>
      </c>
      <c r="K14" s="110">
        <f aca="true" t="shared" si="8" ref="K14:K35">($B$9/SQRT(2))*(1-EXP(-1*J14^2))</f>
        <v>2.5190641883483756E-06</v>
      </c>
      <c r="L14" s="110">
        <f aca="true" t="shared" si="9" ref="L14:L35">10*LOG10(1/SQRT(1-($J$6*K14)^2))</f>
        <v>6.823513649872356E-10</v>
      </c>
      <c r="M14" s="110"/>
      <c r="N14" s="110"/>
      <c r="O14" s="110">
        <f aca="true" t="shared" si="10" ref="O14:O35">10*LOG10(1/SQRT(1-($J$6*$J$6*((($J$11/AA14)^2)+M14+(K14*K14)))))-$T$11-L14-N14</f>
        <v>0.03452165812251761</v>
      </c>
      <c r="P14" s="110">
        <f aca="true" t="shared" si="11" ref="P14:P35">Y14-Z14</f>
        <v>0</v>
      </c>
      <c r="Q14" s="110">
        <f aca="true" t="shared" si="12" ref="Q14:Q35">$B$10</f>
        <v>0.3</v>
      </c>
      <c r="R14" s="212">
        <f aca="true" t="shared" si="13" ref="R14:R35">-10*LOG10(AA14)-H14</f>
        <v>0.35760815570069615</v>
      </c>
      <c r="S14" s="157">
        <f aca="true" t="shared" si="14" ref="S14:S35">H14+I14+L14+N14+O14+P14+Q14+R14</f>
        <v>1.3249736532688208</v>
      </c>
      <c r="T14" s="110">
        <f aca="true" t="shared" si="15" ref="T14:T35">$E$10+I14</f>
        <v>1.5072451902384791</v>
      </c>
      <c r="U14" s="110">
        <f aca="true" t="shared" si="16" ref="U14:U35">S14-I14</f>
        <v>1.3177284630303416</v>
      </c>
      <c r="V14" s="115">
        <f aca="true" t="shared" si="17" ref="V14:V35">$T$6-S14</f>
        <v>4.67502634673118</v>
      </c>
      <c r="W14" s="116">
        <f aca="true" t="shared" si="18" ref="W14:W35">$J$9-T14-R14-P14</f>
        <v>-7.364853345939175</v>
      </c>
      <c r="X14" s="114"/>
      <c r="Y14" s="110">
        <f aca="true" t="shared" si="19" ref="Y14:Y35">10*LOG10((1+10^(-($B$6/10)))/(1-10^(-($B$6/10))))</f>
        <v>1.978027515771426</v>
      </c>
      <c r="Z14" s="110">
        <f aca="true" t="shared" si="20" ref="Z14:Z35">10*LOG10((1+10^(-($J$10/10)))/(1-10^(-($J$10/10))))</f>
        <v>1.978027515771426</v>
      </c>
      <c r="AA14" s="184">
        <f>ERF(AH14)+ERF(AI14)-1</f>
        <v>0.7974056703003771</v>
      </c>
      <c r="AB14" s="114">
        <f aca="true" t="shared" si="21" ref="AB14:AB35">$E$9-$E$10</f>
        <v>6</v>
      </c>
      <c r="AC14" s="141"/>
      <c r="AD14" s="142"/>
      <c r="AE14" s="113"/>
      <c r="AF14" s="187">
        <f aca="true" t="shared" si="22" ref="AF14:AF35">$Z$8*$P$2/(SQRT(8)*G14)</f>
        <v>1.294821690550781</v>
      </c>
      <c r="AG14" s="191">
        <f>IF(ABS(AF14)&lt;10,SIGN(AF14)*ERF(ABS(AF14)),SIGN(AF14))</f>
        <v>0.932922481836261</v>
      </c>
      <c r="AH14" s="197">
        <f aca="true" t="shared" si="23" ref="AH14:AH35">MAX(MIN($Z$8*$P$2*($P$9+1)/(SQRT(8)*G14),10),-10)</f>
        <v>1.6476341402921382</v>
      </c>
      <c r="AI14" s="198">
        <f aca="true" t="shared" si="24" ref="AI14:AI35">MAX(MIN($Z$8*$P$2*(1-$P$9)/(SQRT(8)*G14),10),-10)</f>
        <v>0.9420092408094237</v>
      </c>
    </row>
    <row r="15" spans="1:35" s="20" customFormat="1" ht="15" customHeight="1">
      <c r="A15" s="126">
        <f>$J$3</f>
        <v>0.015</v>
      </c>
      <c r="B15" s="97">
        <f t="shared" si="0"/>
        <v>-117.7609329446064</v>
      </c>
      <c r="C15" s="134">
        <f t="shared" si="1"/>
        <v>0.026949999999999998</v>
      </c>
      <c r="D15" s="149">
        <f t="shared" si="2"/>
        <v>302469.12788172264</v>
      </c>
      <c r="E15" s="149">
        <f t="shared" si="3"/>
        <v>133333.33333333334</v>
      </c>
      <c r="F15" s="107">
        <f aca="true" t="shared" si="25" ref="F15:F35">SQRT((1000*$J$5/D15)^2+(1000*$J$5/E15)^2+$P$4^2)</f>
        <v>47.97857713406177</v>
      </c>
      <c r="G15" s="174">
        <f t="shared" si="4"/>
        <v>62.38799232617182</v>
      </c>
      <c r="H15" s="100">
        <f t="shared" si="5"/>
        <v>0.6310759442012336</v>
      </c>
      <c r="I15" s="97">
        <f t="shared" si="6"/>
        <v>0.05433892678859352</v>
      </c>
      <c r="J15" s="97">
        <f t="shared" si="7"/>
        <v>-0.02001954260204081</v>
      </c>
      <c r="K15" s="97">
        <f t="shared" si="8"/>
        <v>0.0001416694742025346</v>
      </c>
      <c r="L15" s="97">
        <f t="shared" si="9"/>
        <v>2.1581528381696973E-06</v>
      </c>
      <c r="M15" s="97">
        <f aca="true" t="shared" si="26" ref="M15:M35">$P$5*10^9*($J$5/G15)*10^($B$8/10)</f>
        <v>0.001703092621191536</v>
      </c>
      <c r="N15" s="97">
        <f aca="true" t="shared" si="27" ref="N15:N35">10*LOG10(1/SQRT(1-($J$6^2)*M15))</f>
        <v>0.19131947104155958</v>
      </c>
      <c r="O15" s="97">
        <f t="shared" si="10"/>
        <v>0.0451219713869114</v>
      </c>
      <c r="P15" s="97">
        <f t="shared" si="11"/>
        <v>0</v>
      </c>
      <c r="Q15" s="97">
        <f t="shared" si="12"/>
        <v>0.3</v>
      </c>
      <c r="R15" s="203">
        <f t="shared" si="13"/>
        <v>0.35822954643066185</v>
      </c>
      <c r="S15" s="98">
        <f t="shared" si="14"/>
        <v>1.5800880180017982</v>
      </c>
      <c r="T15" s="97">
        <f t="shared" si="15"/>
        <v>1.5543389267885934</v>
      </c>
      <c r="U15" s="97">
        <f t="shared" si="16"/>
        <v>1.5257490912132048</v>
      </c>
      <c r="V15" s="102">
        <f t="shared" si="17"/>
        <v>4.419911981998202</v>
      </c>
      <c r="W15" s="103">
        <f t="shared" si="18"/>
        <v>-7.412568473219256</v>
      </c>
      <c r="X15" s="19"/>
      <c r="Y15" s="18">
        <f t="shared" si="19"/>
        <v>1.978027515771426</v>
      </c>
      <c r="Z15" s="18">
        <f t="shared" si="20"/>
        <v>1.978027515771426</v>
      </c>
      <c r="AA15" s="215">
        <f>ERF(AH15)+ERF(AI15)-1</f>
        <v>0.7962866797675514</v>
      </c>
      <c r="AB15" s="101">
        <f t="shared" si="21"/>
        <v>6</v>
      </c>
      <c r="AC15" s="192">
        <f aca="true" t="shared" si="28" ref="AC15:AC35">$J$2</f>
        <v>0.3</v>
      </c>
      <c r="AD15" s="194">
        <v>0</v>
      </c>
      <c r="AE15" s="207">
        <f aca="true" t="shared" si="29" ref="AE15:AE35">IF(A15=$J$2,V15,0)</f>
        <v>0</v>
      </c>
      <c r="AF15" s="161">
        <f t="shared" si="22"/>
        <v>1.292244564198028</v>
      </c>
      <c r="AG15" s="185">
        <f>IF(ABS(AF15)&lt;10,SIGN(AF15)*ERF(ABS(AF15)),SIGN(AF15))</f>
        <v>0.9323768267875288</v>
      </c>
      <c r="AH15" s="200">
        <f t="shared" si="23"/>
        <v>1.6443547996743297</v>
      </c>
      <c r="AI15" s="201">
        <f t="shared" si="24"/>
        <v>0.940134328721726</v>
      </c>
    </row>
    <row r="16" spans="1:35" s="26" customFormat="1" ht="15" customHeight="1">
      <c r="A16" s="127">
        <f aca="true" t="shared" si="30" ref="A16:A35">A15+$J$4</f>
        <v>0.03</v>
      </c>
      <c r="B16" s="49">
        <f t="shared" si="0"/>
        <v>-117.7609329446064</v>
      </c>
      <c r="C16" s="135">
        <f t="shared" si="1"/>
        <v>0.026949999999999998</v>
      </c>
      <c r="D16" s="150">
        <f t="shared" si="2"/>
        <v>151234.56394086132</v>
      </c>
      <c r="E16" s="150">
        <f t="shared" si="3"/>
        <v>66666.66666666667</v>
      </c>
      <c r="F16" s="108">
        <f t="shared" si="25"/>
        <v>48.46007623019654</v>
      </c>
      <c r="G16" s="108">
        <f t="shared" si="4"/>
        <v>62.759036886474114</v>
      </c>
      <c r="H16" s="50">
        <f t="shared" si="5"/>
        <v>0.6475709903820931</v>
      </c>
      <c r="I16" s="49">
        <f t="shared" si="6"/>
        <v>0.10867785357718704</v>
      </c>
      <c r="J16" s="49">
        <f t="shared" si="7"/>
        <v>-0.04003908520408162</v>
      </c>
      <c r="K16" s="49">
        <f t="shared" si="8"/>
        <v>0.0005663373845219661</v>
      </c>
      <c r="L16" s="49">
        <f t="shared" si="9"/>
        <v>3.4489216476832446E-05</v>
      </c>
      <c r="M16" s="49">
        <f t="shared" si="26"/>
        <v>0.0016930235811913332</v>
      </c>
      <c r="N16" s="49">
        <f t="shared" si="27"/>
        <v>0.19013734669974242</v>
      </c>
      <c r="O16" s="49">
        <f t="shared" si="10"/>
        <v>0.04609574848240153</v>
      </c>
      <c r="P16" s="49">
        <f t="shared" si="11"/>
        <v>0</v>
      </c>
      <c r="Q16" s="49">
        <f t="shared" si="12"/>
        <v>0.3</v>
      </c>
      <c r="R16" s="206">
        <f t="shared" si="13"/>
        <v>0.36005062301263646</v>
      </c>
      <c r="S16" s="53">
        <f t="shared" si="14"/>
        <v>1.6525670513705375</v>
      </c>
      <c r="T16" s="49">
        <f t="shared" si="15"/>
        <v>1.608677853577187</v>
      </c>
      <c r="U16" s="49">
        <f t="shared" si="16"/>
        <v>1.5438891977933504</v>
      </c>
      <c r="V16" s="54">
        <f t="shared" si="17"/>
        <v>4.3474329486294625</v>
      </c>
      <c r="W16" s="99">
        <f t="shared" si="18"/>
        <v>-7.468728476589823</v>
      </c>
      <c r="X16" s="25">
        <f aca="true" t="shared" si="31" ref="X16:X34">(V17-V15)/2</f>
        <v>-0.07864329179530305</v>
      </c>
      <c r="Y16" s="23">
        <f t="shared" si="19"/>
        <v>1.978027515771426</v>
      </c>
      <c r="Z16" s="23">
        <f t="shared" si="20"/>
        <v>1.978027515771426</v>
      </c>
      <c r="AA16" s="214">
        <f>ERF(AH16)+ERF(AI16)-1</f>
        <v>0.7929354577470509</v>
      </c>
      <c r="AB16" s="52">
        <f t="shared" si="21"/>
        <v>6</v>
      </c>
      <c r="AC16" s="143">
        <f t="shared" si="28"/>
        <v>0.3</v>
      </c>
      <c r="AD16" s="144">
        <f aca="true" t="shared" si="32" ref="AD16:AD34">AD17</f>
        <v>7.9</v>
      </c>
      <c r="AE16" s="208">
        <f t="shared" si="29"/>
        <v>0</v>
      </c>
      <c r="AF16" s="162">
        <f t="shared" si="22"/>
        <v>1.2846045438931717</v>
      </c>
      <c r="AG16" s="186">
        <f>IF(ABS(AF16)&lt;10,SIGN(AF16)*ERF(ABS(AF16)),SIGN(AF16))</f>
        <v>0.9307377203985012</v>
      </c>
      <c r="AH16" s="202">
        <f t="shared" si="23"/>
        <v>1.6346330299676053</v>
      </c>
      <c r="AI16" s="202">
        <f t="shared" si="24"/>
        <v>0.9345760578187379</v>
      </c>
    </row>
    <row r="17" spans="1:35" s="26" customFormat="1" ht="15" customHeight="1">
      <c r="A17" s="127">
        <f t="shared" si="30"/>
        <v>0.045</v>
      </c>
      <c r="B17" s="49">
        <f t="shared" si="0"/>
        <v>-117.7609329446064</v>
      </c>
      <c r="C17" s="135">
        <f t="shared" si="1"/>
        <v>0.026949999999999998</v>
      </c>
      <c r="D17" s="150">
        <f t="shared" si="2"/>
        <v>100823.04262724088</v>
      </c>
      <c r="E17" s="150">
        <f t="shared" si="3"/>
        <v>44444.444444444445</v>
      </c>
      <c r="F17" s="108">
        <f t="shared" si="25"/>
        <v>49.25211530769044</v>
      </c>
      <c r="G17" s="108">
        <f t="shared" si="4"/>
        <v>63.37261699632889</v>
      </c>
      <c r="H17" s="50">
        <f t="shared" si="5"/>
        <v>0.6752664227867069</v>
      </c>
      <c r="I17" s="49">
        <f t="shared" si="6"/>
        <v>0.16301678036578054</v>
      </c>
      <c r="J17" s="49">
        <f t="shared" si="7"/>
        <v>-0.06005862780612243</v>
      </c>
      <c r="K17" s="49">
        <f t="shared" si="8"/>
        <v>0.0012729835578038232</v>
      </c>
      <c r="L17" s="49">
        <f t="shared" si="9"/>
        <v>0.00017425788227076904</v>
      </c>
      <c r="M17" s="49">
        <f t="shared" si="26"/>
        <v>0.0016766315550423379</v>
      </c>
      <c r="N17" s="49">
        <f t="shared" si="27"/>
        <v>0.18821426735571276</v>
      </c>
      <c r="O17" s="49">
        <f t="shared" si="10"/>
        <v>0.04775635453326307</v>
      </c>
      <c r="P17" s="49">
        <f t="shared" si="11"/>
        <v>0</v>
      </c>
      <c r="Q17" s="49">
        <f t="shared" si="12"/>
        <v>0.3</v>
      </c>
      <c r="R17" s="206">
        <f t="shared" si="13"/>
        <v>0.36294651866867045</v>
      </c>
      <c r="S17" s="53">
        <f t="shared" si="14"/>
        <v>1.7373746015924045</v>
      </c>
      <c r="T17" s="49">
        <f t="shared" si="15"/>
        <v>1.6630167803657805</v>
      </c>
      <c r="U17" s="49">
        <f t="shared" si="16"/>
        <v>1.574357821226624</v>
      </c>
      <c r="V17" s="54">
        <f t="shared" si="17"/>
        <v>4.262625398407596</v>
      </c>
      <c r="W17" s="99">
        <f t="shared" si="18"/>
        <v>-7.525963299034451</v>
      </c>
      <c r="X17" s="25">
        <f t="shared" si="31"/>
        <v>-0.09114131906826906</v>
      </c>
      <c r="Y17" s="23">
        <f t="shared" si="19"/>
        <v>1.978027515771426</v>
      </c>
      <c r="Z17" s="23">
        <f t="shared" si="20"/>
        <v>1.978027515771426</v>
      </c>
      <c r="AA17" s="214">
        <f>ERF(AH17)+ERF(AI17)-1</f>
        <v>0.7873697142159699</v>
      </c>
      <c r="AB17" s="52">
        <f t="shared" si="21"/>
        <v>6</v>
      </c>
      <c r="AC17" s="143">
        <f t="shared" si="28"/>
        <v>0.3</v>
      </c>
      <c r="AD17" s="144">
        <f t="shared" si="32"/>
        <v>7.9</v>
      </c>
      <c r="AE17" s="208">
        <f t="shared" si="29"/>
        <v>0</v>
      </c>
      <c r="AF17" s="162">
        <f t="shared" si="22"/>
        <v>1.2721668723163837</v>
      </c>
      <c r="AG17" s="186">
        <f>IF(ABS(AF17)&lt;10,SIGN(AF17)*ERF(ABS(AF17)),SIGN(AF17))</f>
        <v>0.9279995989426109</v>
      </c>
      <c r="AH17" s="202">
        <f t="shared" si="23"/>
        <v>1.6188063470619922</v>
      </c>
      <c r="AI17" s="202">
        <f t="shared" si="24"/>
        <v>0.925527397570775</v>
      </c>
    </row>
    <row r="18" spans="1:35" s="26" customFormat="1" ht="15" customHeight="1">
      <c r="A18" s="127">
        <f t="shared" si="30"/>
        <v>0.06</v>
      </c>
      <c r="B18" s="49">
        <f t="shared" si="0"/>
        <v>-117.7609329446064</v>
      </c>
      <c r="C18" s="135">
        <f t="shared" si="1"/>
        <v>0.026949999999999998</v>
      </c>
      <c r="D18" s="150">
        <f t="shared" si="2"/>
        <v>75617.28197043066</v>
      </c>
      <c r="E18" s="150">
        <f t="shared" si="3"/>
        <v>33333.333333333336</v>
      </c>
      <c r="F18" s="108">
        <f t="shared" si="25"/>
        <v>50.34003859698401</v>
      </c>
      <c r="G18" s="108">
        <f t="shared" si="4"/>
        <v>64.22178141897965</v>
      </c>
      <c r="H18" s="50">
        <f t="shared" si="5"/>
        <v>0.7144430161047882</v>
      </c>
      <c r="I18" s="49">
        <f t="shared" si="6"/>
        <v>0.21735570715437408</v>
      </c>
      <c r="J18" s="49">
        <f t="shared" si="7"/>
        <v>-0.08007817040816324</v>
      </c>
      <c r="K18" s="49">
        <f t="shared" si="8"/>
        <v>0.0022599122435134796</v>
      </c>
      <c r="L18" s="49">
        <f t="shared" si="9"/>
        <v>0.000549246744283417</v>
      </c>
      <c r="M18" s="49">
        <f t="shared" si="26"/>
        <v>0.001654462505305969</v>
      </c>
      <c r="N18" s="49">
        <f t="shared" si="27"/>
        <v>0.18561614553264266</v>
      </c>
      <c r="O18" s="49">
        <f t="shared" si="10"/>
        <v>0.050160445034221235</v>
      </c>
      <c r="P18" s="49">
        <f t="shared" si="11"/>
        <v>0</v>
      </c>
      <c r="Q18" s="49">
        <f t="shared" si="12"/>
        <v>0.3</v>
      </c>
      <c r="R18" s="206">
        <f t="shared" si="13"/>
        <v>0.366725128936766</v>
      </c>
      <c r="S18" s="53">
        <f t="shared" si="14"/>
        <v>1.8348496895070756</v>
      </c>
      <c r="T18" s="49">
        <f t="shared" si="15"/>
        <v>1.7173557071543741</v>
      </c>
      <c r="U18" s="49">
        <f t="shared" si="16"/>
        <v>1.6174939823527015</v>
      </c>
      <c r="V18" s="54">
        <f t="shared" si="17"/>
        <v>4.165150310492924</v>
      </c>
      <c r="W18" s="99">
        <f t="shared" si="18"/>
        <v>-7.58408083609114</v>
      </c>
      <c r="X18" s="25">
        <f t="shared" si="31"/>
        <v>-0.10403375851094498</v>
      </c>
      <c r="Y18" s="23">
        <f t="shared" si="19"/>
        <v>1.978027515771426</v>
      </c>
      <c r="Z18" s="23">
        <f t="shared" si="20"/>
        <v>1.978027515771426</v>
      </c>
      <c r="AA18" s="214">
        <f>ERF(AH18)+ERF(AI18)-1</f>
        <v>0.7796203836642657</v>
      </c>
      <c r="AB18" s="52">
        <f t="shared" si="21"/>
        <v>6</v>
      </c>
      <c r="AC18" s="143">
        <f t="shared" si="28"/>
        <v>0.3</v>
      </c>
      <c r="AD18" s="144">
        <f t="shared" si="32"/>
        <v>7.9</v>
      </c>
      <c r="AE18" s="208">
        <f t="shared" si="29"/>
        <v>0</v>
      </c>
      <c r="AF18" s="162">
        <f t="shared" si="22"/>
        <v>1.25534580594642</v>
      </c>
      <c r="AG18" s="186">
        <f>IF(ABS(AF18)&lt;10,SIGN(AF18)*ERF(ABS(AF18)),SIGN(AF18))</f>
        <v>0.9241560858754405</v>
      </c>
      <c r="AH18" s="202">
        <f t="shared" si="23"/>
        <v>1.5974018838609758</v>
      </c>
      <c r="AI18" s="202">
        <f t="shared" si="24"/>
        <v>0.913289728031864</v>
      </c>
    </row>
    <row r="19" spans="1:35" s="26" customFormat="1" ht="15" customHeight="1">
      <c r="A19" s="127">
        <f t="shared" si="30"/>
        <v>0.075</v>
      </c>
      <c r="B19" s="49">
        <f t="shared" si="0"/>
        <v>-117.7609329446064</v>
      </c>
      <c r="C19" s="135">
        <f t="shared" si="1"/>
        <v>0.026949999999999998</v>
      </c>
      <c r="D19" s="150">
        <f t="shared" si="2"/>
        <v>60493.825576344534</v>
      </c>
      <c r="E19" s="150">
        <f t="shared" si="3"/>
        <v>26666.666666666668</v>
      </c>
      <c r="F19" s="108">
        <f t="shared" si="25"/>
        <v>51.7051724610592</v>
      </c>
      <c r="G19" s="108">
        <f t="shared" si="4"/>
        <v>65.29733977666497</v>
      </c>
      <c r="H19" s="50">
        <f t="shared" si="5"/>
        <v>0.7654490409569408</v>
      </c>
      <c r="I19" s="49">
        <f t="shared" si="6"/>
        <v>0.2716946339429676</v>
      </c>
      <c r="J19" s="49">
        <f t="shared" si="7"/>
        <v>-0.10009771301020405</v>
      </c>
      <c r="K19" s="49">
        <f t="shared" si="8"/>
        <v>0.003524758894121322</v>
      </c>
      <c r="L19" s="49">
        <f t="shared" si="9"/>
        <v>0.0013363551033454774</v>
      </c>
      <c r="M19" s="49">
        <f t="shared" si="26"/>
        <v>0.001627210691049138</v>
      </c>
      <c r="N19" s="49">
        <f t="shared" si="27"/>
        <v>0.18242659804000846</v>
      </c>
      <c r="O19" s="49">
        <f t="shared" si="10"/>
        <v>0.05338796803798851</v>
      </c>
      <c r="P19" s="49">
        <f t="shared" si="11"/>
        <v>0</v>
      </c>
      <c r="Q19" s="49">
        <f t="shared" si="12"/>
        <v>0.3</v>
      </c>
      <c r="R19" s="206">
        <f t="shared" si="13"/>
        <v>0.3711475225330436</v>
      </c>
      <c r="S19" s="53">
        <f t="shared" si="14"/>
        <v>1.9454421186142943</v>
      </c>
      <c r="T19" s="49">
        <f t="shared" si="15"/>
        <v>1.7716946339429676</v>
      </c>
      <c r="U19" s="49">
        <f t="shared" si="16"/>
        <v>1.6737474846713267</v>
      </c>
      <c r="V19" s="54">
        <f t="shared" si="17"/>
        <v>4.054557881385706</v>
      </c>
      <c r="W19" s="99">
        <f t="shared" si="18"/>
        <v>-7.642842156476011</v>
      </c>
      <c r="X19" s="25">
        <f t="shared" si="31"/>
        <v>-0.11742245339865365</v>
      </c>
      <c r="Y19" s="23">
        <f t="shared" si="19"/>
        <v>1.978027515771426</v>
      </c>
      <c r="Z19" s="23">
        <f t="shared" si="20"/>
        <v>1.978027515771426</v>
      </c>
      <c r="AA19" s="214">
        <f>ERF(AH19)+ERF(AI19)-1</f>
        <v>0.7697334211440847</v>
      </c>
      <c r="AB19" s="52">
        <f t="shared" si="21"/>
        <v>6</v>
      </c>
      <c r="AC19" s="143">
        <f t="shared" si="28"/>
        <v>0.3</v>
      </c>
      <c r="AD19" s="144">
        <f t="shared" si="32"/>
        <v>7.9</v>
      </c>
      <c r="AE19" s="208">
        <f t="shared" si="29"/>
        <v>0</v>
      </c>
      <c r="AF19" s="162">
        <f t="shared" si="22"/>
        <v>1.234668123241597</v>
      </c>
      <c r="AG19" s="186">
        <f>IF(ABS(AF19)&lt;10,SIGN(AF19)*ERF(ABS(AF19)),SIGN(AF19))</f>
        <v>0.9192036932940107</v>
      </c>
      <c r="AH19" s="202">
        <f t="shared" si="23"/>
        <v>1.5710899551875361</v>
      </c>
      <c r="AI19" s="202">
        <f t="shared" si="24"/>
        <v>0.8982462912956577</v>
      </c>
    </row>
    <row r="20" spans="1:35" s="20" customFormat="1" ht="15" customHeight="1">
      <c r="A20" s="126">
        <f t="shared" si="30"/>
        <v>0.09</v>
      </c>
      <c r="B20" s="97">
        <f t="shared" si="0"/>
        <v>-117.7609329446064</v>
      </c>
      <c r="C20" s="134">
        <f t="shared" si="1"/>
        <v>0.026949999999999998</v>
      </c>
      <c r="D20" s="149">
        <f t="shared" si="2"/>
        <v>50411.52131362044</v>
      </c>
      <c r="E20" s="149">
        <f t="shared" si="3"/>
        <v>22222.222222222223</v>
      </c>
      <c r="F20" s="107">
        <f t="shared" si="25"/>
        <v>53.32623165130027</v>
      </c>
      <c r="G20" s="107">
        <f t="shared" si="4"/>
        <v>66.58832258594218</v>
      </c>
      <c r="H20" s="100">
        <f t="shared" si="5"/>
        <v>0.8286635791801182</v>
      </c>
      <c r="I20" s="97">
        <f t="shared" si="6"/>
        <v>0.3260335607315611</v>
      </c>
      <c r="J20" s="97">
        <f t="shared" si="7"/>
        <v>-0.12011725561224486</v>
      </c>
      <c r="K20" s="97">
        <f t="shared" si="8"/>
        <v>0.0050644996044416175</v>
      </c>
      <c r="L20" s="97">
        <f t="shared" si="9"/>
        <v>0.0027598053492734597</v>
      </c>
      <c r="M20" s="97">
        <f t="shared" si="26"/>
        <v>0.0015956631021080705</v>
      </c>
      <c r="N20" s="97">
        <f t="shared" si="27"/>
        <v>0.17874011525421576</v>
      </c>
      <c r="O20" s="97">
        <f t="shared" si="10"/>
        <v>0.057543447029519273</v>
      </c>
      <c r="P20" s="97">
        <f t="shared" si="11"/>
        <v>0</v>
      </c>
      <c r="Q20" s="97">
        <f t="shared" si="12"/>
        <v>0.3</v>
      </c>
      <c r="R20" s="205">
        <f t="shared" si="13"/>
        <v>0.3759540887596948</v>
      </c>
      <c r="S20" s="98">
        <f t="shared" si="14"/>
        <v>2.069694596304383</v>
      </c>
      <c r="T20" s="97">
        <f t="shared" si="15"/>
        <v>1.826033560731561</v>
      </c>
      <c r="U20" s="97">
        <f t="shared" si="16"/>
        <v>1.743661035572822</v>
      </c>
      <c r="V20" s="102">
        <f t="shared" si="17"/>
        <v>3.930305403695617</v>
      </c>
      <c r="W20" s="103">
        <f t="shared" si="18"/>
        <v>-7.701987649491256</v>
      </c>
      <c r="X20" s="27">
        <f t="shared" si="31"/>
        <v>-0.13139132878868676</v>
      </c>
      <c r="Y20" s="18">
        <f t="shared" si="19"/>
        <v>1.978027515771426</v>
      </c>
      <c r="Z20" s="18">
        <f t="shared" si="20"/>
        <v>1.978027515771426</v>
      </c>
      <c r="AA20" s="216">
        <f>ERF(AH20)+ERF(AI20)-1</f>
        <v>0.7577714404975839</v>
      </c>
      <c r="AB20" s="101">
        <f t="shared" si="21"/>
        <v>6</v>
      </c>
      <c r="AC20" s="192">
        <f t="shared" si="28"/>
        <v>0.3</v>
      </c>
      <c r="AD20" s="193">
        <f t="shared" si="32"/>
        <v>7.9</v>
      </c>
      <c r="AE20" s="207">
        <f t="shared" si="29"/>
        <v>0</v>
      </c>
      <c r="AF20" s="161">
        <f t="shared" si="22"/>
        <v>1.2107309633858243</v>
      </c>
      <c r="AG20" s="185">
        <f>IF(ABS(AF20)&lt;10,SIGN(AF20)*ERF(ABS(AF20)),SIGN(AF20))</f>
        <v>0.9131460894803299</v>
      </c>
      <c r="AH20" s="200">
        <f t="shared" si="23"/>
        <v>1.5406304084500815</v>
      </c>
      <c r="AI20" s="200">
        <f t="shared" si="24"/>
        <v>0.8808315183215668</v>
      </c>
    </row>
    <row r="21" spans="1:35" s="26" customFormat="1" ht="15" customHeight="1">
      <c r="A21" s="127">
        <f t="shared" si="30"/>
        <v>0.105</v>
      </c>
      <c r="B21" s="49">
        <f t="shared" si="0"/>
        <v>-117.7609329446064</v>
      </c>
      <c r="C21" s="135">
        <f t="shared" si="1"/>
        <v>0.026949999999999998</v>
      </c>
      <c r="D21" s="150">
        <f t="shared" si="2"/>
        <v>43209.875411674664</v>
      </c>
      <c r="E21" s="150">
        <f t="shared" si="3"/>
        <v>19047.61904761905</v>
      </c>
      <c r="F21" s="108">
        <f t="shared" si="25"/>
        <v>55.18066558720213</v>
      </c>
      <c r="G21" s="108">
        <f t="shared" si="4"/>
        <v>68.0824762866921</v>
      </c>
      <c r="H21" s="50">
        <f t="shared" si="5"/>
        <v>0.9044604978559398</v>
      </c>
      <c r="I21" s="49">
        <f t="shared" si="6"/>
        <v>0.3803724875201546</v>
      </c>
      <c r="J21" s="49">
        <f t="shared" si="7"/>
        <v>-0.14013679821428568</v>
      </c>
      <c r="K21" s="49">
        <f t="shared" si="8"/>
        <v>0.006875463157184221</v>
      </c>
      <c r="L21" s="49">
        <f t="shared" si="9"/>
        <v>0.00508911363166612</v>
      </c>
      <c r="M21" s="49">
        <f t="shared" si="26"/>
        <v>0.0015606443122637462</v>
      </c>
      <c r="N21" s="49">
        <f t="shared" si="27"/>
        <v>0.17465532245964172</v>
      </c>
      <c r="O21" s="49">
        <f t="shared" si="10"/>
        <v>0.06275829233451155</v>
      </c>
      <c r="P21" s="49">
        <f t="shared" si="11"/>
        <v>0</v>
      </c>
      <c r="Q21" s="49">
        <f t="shared" si="12"/>
        <v>0.3</v>
      </c>
      <c r="R21" s="206">
        <f t="shared" si="13"/>
        <v>0.3808890623897536</v>
      </c>
      <c r="S21" s="53">
        <f t="shared" si="14"/>
        <v>2.208224776191668</v>
      </c>
      <c r="T21" s="49">
        <f t="shared" si="15"/>
        <v>1.8803724875201546</v>
      </c>
      <c r="U21" s="49">
        <f t="shared" si="16"/>
        <v>1.8278522886715132</v>
      </c>
      <c r="V21" s="54">
        <f t="shared" si="17"/>
        <v>3.791775223808332</v>
      </c>
      <c r="W21" s="99">
        <f t="shared" si="18"/>
        <v>-7.761261549909908</v>
      </c>
      <c r="X21" s="25">
        <f t="shared" si="31"/>
        <v>-0.14600850107263308</v>
      </c>
      <c r="Y21" s="23">
        <f t="shared" si="19"/>
        <v>1.978027515771426</v>
      </c>
      <c r="Z21" s="23">
        <f t="shared" si="20"/>
        <v>1.978027515771426</v>
      </c>
      <c r="AA21" s="214">
        <f>ERF(AH21)+ERF(AI21)-1</f>
        <v>0.743815191392708</v>
      </c>
      <c r="AB21" s="52">
        <f t="shared" si="21"/>
        <v>6</v>
      </c>
      <c r="AC21" s="143">
        <f t="shared" si="28"/>
        <v>0.3</v>
      </c>
      <c r="AD21" s="144">
        <f t="shared" si="32"/>
        <v>7.9</v>
      </c>
      <c r="AE21" s="208">
        <f t="shared" si="29"/>
        <v>0</v>
      </c>
      <c r="AF21" s="162">
        <f t="shared" si="22"/>
        <v>1.1841599828894958</v>
      </c>
      <c r="AG21" s="186">
        <f>IF(ABS(AF21)&lt;10,SIGN(AF21)*ERF(ABS(AF21)),SIGN(AF21))</f>
        <v>0.905998056427417</v>
      </c>
      <c r="AH21" s="202">
        <f t="shared" si="23"/>
        <v>1.506819378772192</v>
      </c>
      <c r="AI21" s="202">
        <f t="shared" si="24"/>
        <v>0.8615005870067992</v>
      </c>
    </row>
    <row r="22" spans="1:35" s="26" customFormat="1" ht="15" customHeight="1">
      <c r="A22" s="127">
        <f t="shared" si="30"/>
        <v>0.12</v>
      </c>
      <c r="B22" s="49">
        <f t="shared" si="0"/>
        <v>-117.7609329446064</v>
      </c>
      <c r="C22" s="135">
        <f t="shared" si="1"/>
        <v>0.026949999999999998</v>
      </c>
      <c r="D22" s="150">
        <f t="shared" si="2"/>
        <v>37808.64098521533</v>
      </c>
      <c r="E22" s="150">
        <f t="shared" si="3"/>
        <v>16666.666666666668</v>
      </c>
      <c r="F22" s="108">
        <f t="shared" si="25"/>
        <v>57.24579876972072</v>
      </c>
      <c r="G22" s="108">
        <f t="shared" si="4"/>
        <v>69.76674852295123</v>
      </c>
      <c r="H22" s="50">
        <f t="shared" si="5"/>
        <v>0.9931761089034254</v>
      </c>
      <c r="I22" s="49">
        <f t="shared" si="6"/>
        <v>0.43471141430874816</v>
      </c>
      <c r="J22" s="49">
        <f t="shared" si="7"/>
        <v>-0.1601563408163265</v>
      </c>
      <c r="K22" s="49">
        <f t="shared" si="8"/>
        <v>0.00895334560756219</v>
      </c>
      <c r="L22" s="49">
        <f t="shared" si="9"/>
        <v>0.008637012151473784</v>
      </c>
      <c r="M22" s="49">
        <f t="shared" si="26"/>
        <v>0.001522968056146452</v>
      </c>
      <c r="N22" s="49">
        <f t="shared" si="27"/>
        <v>0.17026911137850187</v>
      </c>
      <c r="O22" s="49">
        <f t="shared" si="10"/>
        <v>0.06919467948404967</v>
      </c>
      <c r="P22" s="49">
        <f t="shared" si="11"/>
        <v>0</v>
      </c>
      <c r="Q22" s="49">
        <f t="shared" si="12"/>
        <v>0.3</v>
      </c>
      <c r="R22" s="206">
        <f t="shared" si="13"/>
        <v>0.38572327222345004</v>
      </c>
      <c r="S22" s="53">
        <f t="shared" si="14"/>
        <v>2.361711598449649</v>
      </c>
      <c r="T22" s="49">
        <f t="shared" si="15"/>
        <v>1.9347114143087483</v>
      </c>
      <c r="U22" s="49">
        <f t="shared" si="16"/>
        <v>1.9270001841409008</v>
      </c>
      <c r="V22" s="54">
        <f t="shared" si="17"/>
        <v>3.638288401550351</v>
      </c>
      <c r="W22" s="99">
        <f t="shared" si="18"/>
        <v>-7.820434686532199</v>
      </c>
      <c r="X22" s="25">
        <f t="shared" si="31"/>
        <v>-0.16133296928237129</v>
      </c>
      <c r="Y22" s="23">
        <f t="shared" si="19"/>
        <v>1.978027515771426</v>
      </c>
      <c r="Z22" s="23">
        <f t="shared" si="20"/>
        <v>1.978027515771426</v>
      </c>
      <c r="AA22" s="214">
        <f>ERF(AH22)+ERF(AI22)-1</f>
        <v>0.7279642668610773</v>
      </c>
      <c r="AB22" s="52">
        <f t="shared" si="21"/>
        <v>6</v>
      </c>
      <c r="AC22" s="143">
        <f t="shared" si="28"/>
        <v>0.3</v>
      </c>
      <c r="AD22" s="144">
        <f t="shared" si="32"/>
        <v>7.9</v>
      </c>
      <c r="AE22" s="208">
        <f t="shared" si="29"/>
        <v>0</v>
      </c>
      <c r="AF22" s="162">
        <f t="shared" si="22"/>
        <v>1.1555726139107947</v>
      </c>
      <c r="AG22" s="186">
        <f>IF(ABS(AF22)&lt;10,SIGN(AF22)*ERF(ABS(AF22)),SIGN(AF22))</f>
        <v>0.8977886555798085</v>
      </c>
      <c r="AH22" s="202">
        <f t="shared" si="23"/>
        <v>1.4704425359573325</v>
      </c>
      <c r="AI22" s="202">
        <f t="shared" si="24"/>
        <v>0.8407026918642565</v>
      </c>
    </row>
    <row r="23" spans="1:35" s="26" customFormat="1" ht="15" customHeight="1">
      <c r="A23" s="127">
        <f t="shared" si="30"/>
        <v>0.135</v>
      </c>
      <c r="B23" s="49">
        <f t="shared" si="0"/>
        <v>-117.7609329446064</v>
      </c>
      <c r="C23" s="135">
        <f t="shared" si="1"/>
        <v>0.026949999999999998</v>
      </c>
      <c r="D23" s="150">
        <f t="shared" si="2"/>
        <v>33607.68087574696</v>
      </c>
      <c r="E23" s="150">
        <f t="shared" si="3"/>
        <v>14814.814814814814</v>
      </c>
      <c r="F23" s="108">
        <f t="shared" si="25"/>
        <v>59.499696205428755</v>
      </c>
      <c r="G23" s="108">
        <f t="shared" si="4"/>
        <v>71.62772906647028</v>
      </c>
      <c r="H23" s="50">
        <f t="shared" si="5"/>
        <v>1.095086333925134</v>
      </c>
      <c r="I23" s="49">
        <f t="shared" si="6"/>
        <v>0.4890503410973417</v>
      </c>
      <c r="J23" s="49">
        <f t="shared" si="7"/>
        <v>-0.1801758834183673</v>
      </c>
      <c r="K23" s="49">
        <f t="shared" si="8"/>
        <v>0.011293227325862803</v>
      </c>
      <c r="L23" s="49">
        <f t="shared" si="9"/>
        <v>0.01375753370076037</v>
      </c>
      <c r="M23" s="49">
        <f t="shared" si="26"/>
        <v>0.0014833993868918476</v>
      </c>
      <c r="N23" s="49">
        <f t="shared" si="27"/>
        <v>0.16567210715167013</v>
      </c>
      <c r="O23" s="49">
        <f t="shared" si="10"/>
        <v>0.07705169810186224</v>
      </c>
      <c r="P23" s="49">
        <f t="shared" si="11"/>
        <v>0</v>
      </c>
      <c r="Q23" s="49">
        <f t="shared" si="12"/>
        <v>0.3</v>
      </c>
      <c r="R23" s="206">
        <f t="shared" si="13"/>
        <v>0.3902727007796418</v>
      </c>
      <c r="S23" s="53">
        <f t="shared" si="14"/>
        <v>2.5308907147564104</v>
      </c>
      <c r="T23" s="49">
        <f t="shared" si="15"/>
        <v>1.9890503410973417</v>
      </c>
      <c r="U23" s="49">
        <f t="shared" si="16"/>
        <v>2.0418403736590687</v>
      </c>
      <c r="V23" s="54">
        <f t="shared" si="17"/>
        <v>3.4691092852435896</v>
      </c>
      <c r="W23" s="99">
        <f t="shared" si="18"/>
        <v>-7.879323041876983</v>
      </c>
      <c r="X23" s="25">
        <f t="shared" si="31"/>
        <v>-0.17742225121255095</v>
      </c>
      <c r="Y23" s="23">
        <f t="shared" si="19"/>
        <v>1.978027515771426</v>
      </c>
      <c r="Z23" s="23">
        <f t="shared" si="20"/>
        <v>1.978027515771426</v>
      </c>
      <c r="AA23" s="214">
        <f>ERF(AH23)+ERF(AI23)-1</f>
        <v>0.710336443496359</v>
      </c>
      <c r="AB23" s="52">
        <f t="shared" si="21"/>
        <v>6</v>
      </c>
      <c r="AC23" s="143">
        <f t="shared" si="28"/>
        <v>0.3</v>
      </c>
      <c r="AD23" s="144">
        <f t="shared" si="32"/>
        <v>7.9</v>
      </c>
      <c r="AE23" s="208">
        <f t="shared" si="29"/>
        <v>0</v>
      </c>
      <c r="AF23" s="162">
        <f t="shared" si="22"/>
        <v>1.1255493508653365</v>
      </c>
      <c r="AG23" s="186">
        <f>IF(ABS(AF23)&lt;10,SIGN(AF23)*ERF(ABS(AF23)),SIGN(AF23))</f>
        <v>0.8885629350304993</v>
      </c>
      <c r="AH23" s="202">
        <f t="shared" si="23"/>
        <v>1.432238547286409</v>
      </c>
      <c r="AI23" s="202">
        <f t="shared" si="24"/>
        <v>0.8188601544442637</v>
      </c>
    </row>
    <row r="24" spans="1:35" s="26" customFormat="1" ht="15" customHeight="1">
      <c r="A24" s="127">
        <f t="shared" si="30"/>
        <v>0.15000000000000002</v>
      </c>
      <c r="B24" s="49">
        <f t="shared" si="0"/>
        <v>-117.7609329446064</v>
      </c>
      <c r="C24" s="135">
        <f t="shared" si="1"/>
        <v>0.026949999999999998</v>
      </c>
      <c r="D24" s="150">
        <f t="shared" si="2"/>
        <v>30246.912788172263</v>
      </c>
      <c r="E24" s="150">
        <f t="shared" si="3"/>
        <v>13333.333333333332</v>
      </c>
      <c r="F24" s="108">
        <f t="shared" si="25"/>
        <v>61.921748763350486</v>
      </c>
      <c r="G24" s="108">
        <f t="shared" si="4"/>
        <v>73.65202436181137</v>
      </c>
      <c r="H24" s="50">
        <f t="shared" si="5"/>
        <v>1.210395020748802</v>
      </c>
      <c r="I24" s="49">
        <f t="shared" si="6"/>
        <v>0.5433892678859353</v>
      </c>
      <c r="J24" s="49">
        <f t="shared" si="7"/>
        <v>-0.20019542602040813</v>
      </c>
      <c r="K24" s="49">
        <f t="shared" si="8"/>
        <v>0.013889592403533137</v>
      </c>
      <c r="L24" s="49">
        <f t="shared" si="9"/>
        <v>0.02084448653817334</v>
      </c>
      <c r="M24" s="49">
        <f t="shared" si="26"/>
        <v>0.0014426287709309645</v>
      </c>
      <c r="N24" s="49">
        <f t="shared" si="27"/>
        <v>0.16094562113255648</v>
      </c>
      <c r="O24" s="49">
        <f t="shared" si="10"/>
        <v>0.08657418843140094</v>
      </c>
      <c r="P24" s="49">
        <f t="shared" si="11"/>
        <v>0</v>
      </c>
      <c r="Q24" s="49">
        <f t="shared" si="12"/>
        <v>0.3</v>
      </c>
      <c r="R24" s="206">
        <f t="shared" si="13"/>
        <v>0.39440751613788305</v>
      </c>
      <c r="S24" s="53">
        <f t="shared" si="14"/>
        <v>2.716556100874751</v>
      </c>
      <c r="T24" s="49">
        <f t="shared" si="15"/>
        <v>2.043389267885935</v>
      </c>
      <c r="U24" s="49">
        <f t="shared" si="16"/>
        <v>2.173166832988816</v>
      </c>
      <c r="V24" s="54">
        <f t="shared" si="17"/>
        <v>3.283443899125249</v>
      </c>
      <c r="W24" s="99">
        <f t="shared" si="18"/>
        <v>-7.937796784023818</v>
      </c>
      <c r="X24" s="25">
        <f t="shared" si="31"/>
        <v>-0.19434092203217523</v>
      </c>
      <c r="Y24" s="23">
        <f t="shared" si="19"/>
        <v>1.978027515771426</v>
      </c>
      <c r="Z24" s="23">
        <f t="shared" si="20"/>
        <v>1.978027515771426</v>
      </c>
      <c r="AA24" s="214">
        <f>ERF(AH24)+ERF(AI24)-1</f>
        <v>0.6910663497928144</v>
      </c>
      <c r="AB24" s="52">
        <f t="shared" si="21"/>
        <v>6</v>
      </c>
      <c r="AC24" s="143">
        <f t="shared" si="28"/>
        <v>0.3</v>
      </c>
      <c r="AD24" s="144">
        <f t="shared" si="32"/>
        <v>7.9</v>
      </c>
      <c r="AE24" s="208">
        <f t="shared" si="29"/>
        <v>0</v>
      </c>
      <c r="AF24" s="162">
        <f t="shared" si="22"/>
        <v>1.094614094497661</v>
      </c>
      <c r="AG24" s="186">
        <f>IF(ABS(AF24)&lt;10,SIGN(AF24)*ERF(ABS(AF24)),SIGN(AF24))</f>
        <v>0.8783820294930671</v>
      </c>
      <c r="AH24" s="202">
        <f t="shared" si="23"/>
        <v>1.3928740657504295</v>
      </c>
      <c r="AI24" s="202">
        <f t="shared" si="24"/>
        <v>0.7963541232448922</v>
      </c>
    </row>
    <row r="25" spans="1:35" s="20" customFormat="1" ht="15" customHeight="1">
      <c r="A25" s="126">
        <f t="shared" si="30"/>
        <v>0.16500000000000004</v>
      </c>
      <c r="B25" s="97">
        <f t="shared" si="0"/>
        <v>-117.7609329446064</v>
      </c>
      <c r="C25" s="134">
        <f t="shared" si="1"/>
        <v>0.026949999999999998</v>
      </c>
      <c r="D25" s="149">
        <f t="shared" si="2"/>
        <v>27497.193443792963</v>
      </c>
      <c r="E25" s="149">
        <f t="shared" si="3"/>
        <v>12121.212121212118</v>
      </c>
      <c r="F25" s="107">
        <f t="shared" si="25"/>
        <v>64.49301389222644</v>
      </c>
      <c r="G25" s="107">
        <f t="shared" si="4"/>
        <v>75.82655579402424</v>
      </c>
      <c r="H25" s="100">
        <f t="shared" si="5"/>
        <v>1.3392322116151858</v>
      </c>
      <c r="I25" s="97">
        <f t="shared" si="6"/>
        <v>0.5977281946745289</v>
      </c>
      <c r="J25" s="97">
        <f t="shared" si="7"/>
        <v>-0.22021496862244896</v>
      </c>
      <c r="K25" s="97">
        <f t="shared" si="8"/>
        <v>0.01673635031564978</v>
      </c>
      <c r="L25" s="97">
        <f t="shared" si="9"/>
        <v>0.03033056209527263</v>
      </c>
      <c r="M25" s="97">
        <f t="shared" si="26"/>
        <v>0.001401257491772176</v>
      </c>
      <c r="N25" s="97">
        <f t="shared" si="27"/>
        <v>0.15615999419368884</v>
      </c>
      <c r="O25" s="97">
        <f t="shared" si="10"/>
        <v>0.0980654067943317</v>
      </c>
      <c r="P25" s="97">
        <f t="shared" si="11"/>
        <v>0</v>
      </c>
      <c r="Q25" s="97">
        <f t="shared" si="12"/>
        <v>0.3</v>
      </c>
      <c r="R25" s="205">
        <f t="shared" si="13"/>
        <v>0.3980561894477528</v>
      </c>
      <c r="S25" s="98">
        <f t="shared" si="14"/>
        <v>2.919572558820761</v>
      </c>
      <c r="T25" s="97">
        <f t="shared" si="15"/>
        <v>2.097728194674529</v>
      </c>
      <c r="U25" s="97">
        <f t="shared" si="16"/>
        <v>2.321844364146232</v>
      </c>
      <c r="V25" s="102">
        <f t="shared" si="17"/>
        <v>3.080427441179239</v>
      </c>
      <c r="W25" s="103">
        <f t="shared" si="18"/>
        <v>-7.995784384122282</v>
      </c>
      <c r="X25" s="27">
        <f t="shared" si="31"/>
        <v>-0.21217157750728854</v>
      </c>
      <c r="Y25" s="18">
        <f t="shared" si="19"/>
        <v>1.978027515771426</v>
      </c>
      <c r="Z25" s="18">
        <f t="shared" si="20"/>
        <v>1.978027515771426</v>
      </c>
      <c r="AA25" s="216">
        <f>ERF(AH25)+ERF(AI25)-1</f>
        <v>0.6703029950185799</v>
      </c>
      <c r="AB25" s="101">
        <f t="shared" si="21"/>
        <v>6</v>
      </c>
      <c r="AC25" s="192">
        <f t="shared" si="28"/>
        <v>0.3</v>
      </c>
      <c r="AD25" s="193">
        <f t="shared" si="32"/>
        <v>7.9</v>
      </c>
      <c r="AE25" s="207">
        <f t="shared" si="29"/>
        <v>0</v>
      </c>
      <c r="AF25" s="161">
        <f t="shared" si="22"/>
        <v>1.0632230768033561</v>
      </c>
      <c r="AG25" s="185">
        <f>IF(ABS(AF25)&lt;10,SIGN(AF25)*ERF(ABS(AF25)),SIGN(AF25))</f>
        <v>0.8673218671013461</v>
      </c>
      <c r="AH25" s="200">
        <f t="shared" si="23"/>
        <v>1.352929637240238</v>
      </c>
      <c r="AI25" s="200">
        <f t="shared" si="24"/>
        <v>0.7735165163664743</v>
      </c>
    </row>
    <row r="26" spans="1:35" s="26" customFormat="1" ht="15" customHeight="1">
      <c r="A26" s="127">
        <f t="shared" si="30"/>
        <v>0.18000000000000005</v>
      </c>
      <c r="B26" s="49">
        <f t="shared" si="0"/>
        <v>-117.7609329446064</v>
      </c>
      <c r="C26" s="135">
        <f t="shared" si="1"/>
        <v>0.026949999999999998</v>
      </c>
      <c r="D26" s="150">
        <f t="shared" si="2"/>
        <v>25205.760656810213</v>
      </c>
      <c r="E26" s="150">
        <f t="shared" si="3"/>
        <v>11111.111111111108</v>
      </c>
      <c r="F26" s="108">
        <f t="shared" si="25"/>
        <v>67.19636494270027</v>
      </c>
      <c r="G26" s="108">
        <f t="shared" si="4"/>
        <v>78.13878156327955</v>
      </c>
      <c r="H26" s="50">
        <f t="shared" si="5"/>
        <v>1.4816618471819596</v>
      </c>
      <c r="I26" s="49">
        <f t="shared" si="6"/>
        <v>0.6520671214631224</v>
      </c>
      <c r="J26" s="49">
        <f t="shared" si="7"/>
        <v>-0.24023451122448977</v>
      </c>
      <c r="K26" s="49">
        <f t="shared" si="8"/>
        <v>0.019826859720717984</v>
      </c>
      <c r="L26" s="49">
        <f t="shared" si="9"/>
        <v>0.04268733337555454</v>
      </c>
      <c r="M26" s="49">
        <f t="shared" si="26"/>
        <v>0.0013597925032349056</v>
      </c>
      <c r="N26" s="49">
        <f t="shared" si="27"/>
        <v>0.15137408683633263</v>
      </c>
      <c r="O26" s="49">
        <f t="shared" si="10"/>
        <v>0.11190481874576191</v>
      </c>
      <c r="P26" s="49">
        <f t="shared" si="11"/>
        <v>0</v>
      </c>
      <c r="Q26" s="49">
        <f t="shared" si="12"/>
        <v>0.3</v>
      </c>
      <c r="R26" s="206">
        <f t="shared" si="13"/>
        <v>0.4012040482865973</v>
      </c>
      <c r="S26" s="53">
        <f t="shared" si="14"/>
        <v>3.140899255889328</v>
      </c>
      <c r="T26" s="49">
        <f t="shared" si="15"/>
        <v>2.1520671214631224</v>
      </c>
      <c r="U26" s="49">
        <f t="shared" si="16"/>
        <v>2.4888321344262057</v>
      </c>
      <c r="V26" s="54">
        <f t="shared" si="17"/>
        <v>2.859100744110672</v>
      </c>
      <c r="W26" s="99">
        <f t="shared" si="18"/>
        <v>-8.05327116974972</v>
      </c>
      <c r="X26" s="25">
        <f t="shared" si="31"/>
        <v>-0.23102760051687232</v>
      </c>
      <c r="Y26" s="23">
        <f t="shared" si="19"/>
        <v>1.978027515771426</v>
      </c>
      <c r="Z26" s="23">
        <f t="shared" si="20"/>
        <v>1.978027515771426</v>
      </c>
      <c r="AA26" s="214">
        <f>ERF(AH26)+ERF(AI26)-1</f>
        <v>0.6482065429465875</v>
      </c>
      <c r="AB26" s="52">
        <f t="shared" si="21"/>
        <v>6</v>
      </c>
      <c r="AC26" s="143">
        <f t="shared" si="28"/>
        <v>0.3</v>
      </c>
      <c r="AD26" s="144">
        <f t="shared" si="32"/>
        <v>7.9</v>
      </c>
      <c r="AE26" s="208">
        <f t="shared" si="29"/>
        <v>0</v>
      </c>
      <c r="AF26" s="162">
        <f t="shared" si="22"/>
        <v>1.0317609558505139</v>
      </c>
      <c r="AG26" s="186">
        <f>IF(ABS(AF26)&lt;10,SIGN(AF26)*ERF(ABS(AF26)),SIGN(AF26))</f>
        <v>0.8554707083484455</v>
      </c>
      <c r="AH26" s="202">
        <f t="shared" si="23"/>
        <v>1.312894731286621</v>
      </c>
      <c r="AI26" s="202">
        <f t="shared" si="24"/>
        <v>0.7506271804144065</v>
      </c>
    </row>
    <row r="27" spans="1:35" s="26" customFormat="1" ht="15" customHeight="1">
      <c r="A27" s="127">
        <f t="shared" si="30"/>
        <v>0.19500000000000006</v>
      </c>
      <c r="B27" s="49">
        <f t="shared" si="0"/>
        <v>-117.7609329446064</v>
      </c>
      <c r="C27" s="135">
        <f t="shared" si="1"/>
        <v>0.026949999999999998</v>
      </c>
      <c r="D27" s="150">
        <f t="shared" si="2"/>
        <v>23266.855990901735</v>
      </c>
      <c r="E27" s="150">
        <f t="shared" si="3"/>
        <v>10256.410256410252</v>
      </c>
      <c r="F27" s="108">
        <f t="shared" si="25"/>
        <v>70.01650399541835</v>
      </c>
      <c r="G27" s="108">
        <f t="shared" si="4"/>
        <v>80.57684874963647</v>
      </c>
      <c r="H27" s="50">
        <f t="shared" si="5"/>
        <v>1.637699475699173</v>
      </c>
      <c r="I27" s="49">
        <f t="shared" si="6"/>
        <v>0.7064060482517159</v>
      </c>
      <c r="J27" s="49">
        <f t="shared" si="7"/>
        <v>-0.2602540538265306</v>
      </c>
      <c r="K27" s="49">
        <f t="shared" si="8"/>
        <v>0.023153954267664405</v>
      </c>
      <c r="L27" s="49">
        <f t="shared" si="9"/>
        <v>0.05842642346700955</v>
      </c>
      <c r="M27" s="49">
        <f t="shared" si="26"/>
        <v>0.0013186483590565679</v>
      </c>
      <c r="N27" s="49">
        <f t="shared" si="27"/>
        <v>0.14663561465994157</v>
      </c>
      <c r="O27" s="49">
        <f t="shared" si="10"/>
        <v>0.12857322037028723</v>
      </c>
      <c r="P27" s="49">
        <f t="shared" si="11"/>
        <v>0</v>
      </c>
      <c r="Q27" s="49">
        <f t="shared" si="12"/>
        <v>0.3</v>
      </c>
      <c r="R27" s="206">
        <f t="shared" si="13"/>
        <v>0.40388697740637847</v>
      </c>
      <c r="S27" s="53">
        <f t="shared" si="14"/>
        <v>3.3816277598545055</v>
      </c>
      <c r="T27" s="49">
        <f t="shared" si="15"/>
        <v>2.206406048251716</v>
      </c>
      <c r="U27" s="49">
        <f t="shared" si="16"/>
        <v>2.6752217116027897</v>
      </c>
      <c r="V27" s="54">
        <f t="shared" si="17"/>
        <v>2.6183722401454945</v>
      </c>
      <c r="W27" s="99">
        <f t="shared" si="18"/>
        <v>-8.110293025658095</v>
      </c>
      <c r="X27" s="25">
        <f t="shared" si="31"/>
        <v>-0.25106513392965524</v>
      </c>
      <c r="Y27" s="23">
        <f t="shared" si="19"/>
        <v>1.978027515771426</v>
      </c>
      <c r="Z27" s="23">
        <f t="shared" si="20"/>
        <v>1.978027515771426</v>
      </c>
      <c r="AA27" s="214">
        <f>ERF(AH27)+ERF(AI27)-1</f>
        <v>0.6249443624439475</v>
      </c>
      <c r="AB27" s="52">
        <f t="shared" si="21"/>
        <v>6</v>
      </c>
      <c r="AC27" s="143">
        <f t="shared" si="28"/>
        <v>0.3</v>
      </c>
      <c r="AD27" s="144">
        <f t="shared" si="32"/>
        <v>7.9</v>
      </c>
      <c r="AE27" s="208">
        <f t="shared" si="29"/>
        <v>0</v>
      </c>
      <c r="AF27" s="162">
        <f t="shared" si="22"/>
        <v>1.000542279895099</v>
      </c>
      <c r="AG27" s="186">
        <f>IF(ABS(AF27)&lt;10,SIGN(AF27)*ERF(ABS(AF27)),SIGN(AF27))</f>
        <v>0.8429257181209591</v>
      </c>
      <c r="AH27" s="202">
        <f t="shared" si="23"/>
        <v>1.2731696041171967</v>
      </c>
      <c r="AI27" s="202">
        <f t="shared" si="24"/>
        <v>0.727914955673001</v>
      </c>
    </row>
    <row r="28" spans="1:35" s="26" customFormat="1" ht="15" customHeight="1">
      <c r="A28" s="127">
        <f t="shared" si="30"/>
        <v>0.21000000000000008</v>
      </c>
      <c r="B28" s="49">
        <f t="shared" si="0"/>
        <v>-117.7609329446064</v>
      </c>
      <c r="C28" s="135">
        <f t="shared" si="1"/>
        <v>0.026949999999999998</v>
      </c>
      <c r="D28" s="150">
        <f t="shared" si="2"/>
        <v>21604.937705837325</v>
      </c>
      <c r="E28" s="150">
        <f t="shared" si="3"/>
        <v>9523.809523809521</v>
      </c>
      <c r="F28" s="108">
        <f t="shared" si="25"/>
        <v>72.93988587588095</v>
      </c>
      <c r="G28" s="108">
        <f t="shared" si="4"/>
        <v>83.12968587855902</v>
      </c>
      <c r="H28" s="50">
        <f t="shared" si="5"/>
        <v>1.8073328321321094</v>
      </c>
      <c r="I28" s="49">
        <f t="shared" si="6"/>
        <v>0.7607449750403096</v>
      </c>
      <c r="J28" s="49">
        <f t="shared" si="7"/>
        <v>-0.2802735964285714</v>
      </c>
      <c r="K28" s="49">
        <f t="shared" si="8"/>
        <v>0.026709970269719555</v>
      </c>
      <c r="L28" s="49">
        <f t="shared" si="9"/>
        <v>0.07810215795609682</v>
      </c>
      <c r="M28" s="49">
        <f t="shared" si="26"/>
        <v>0.0012781538659592394</v>
      </c>
      <c r="N28" s="49">
        <f t="shared" si="27"/>
        <v>0.14198203592154365</v>
      </c>
      <c r="O28" s="49">
        <f t="shared" si="10"/>
        <v>0.14868769788373284</v>
      </c>
      <c r="P28" s="49">
        <f t="shared" si="11"/>
        <v>0</v>
      </c>
      <c r="Q28" s="49">
        <f t="shared" si="12"/>
        <v>0.3</v>
      </c>
      <c r="R28" s="206">
        <f t="shared" si="13"/>
        <v>0.4061798248148467</v>
      </c>
      <c r="S28" s="53">
        <f t="shared" si="14"/>
        <v>3.6430295237486385</v>
      </c>
      <c r="T28" s="49">
        <f t="shared" si="15"/>
        <v>2.2607449750403097</v>
      </c>
      <c r="U28" s="49">
        <f t="shared" si="16"/>
        <v>2.882284548708329</v>
      </c>
      <c r="V28" s="54">
        <f t="shared" si="17"/>
        <v>2.3569704762513615</v>
      </c>
      <c r="W28" s="99">
        <f t="shared" si="18"/>
        <v>-8.166924799855156</v>
      </c>
      <c r="X28" s="25">
        <f t="shared" si="31"/>
        <v>-0.27250539461328405</v>
      </c>
      <c r="Y28" s="23">
        <f t="shared" si="19"/>
        <v>1.978027515771426</v>
      </c>
      <c r="Z28" s="23">
        <f t="shared" si="20"/>
        <v>1.978027515771426</v>
      </c>
      <c r="AA28" s="214">
        <f>ERF(AH28)+ERF(AI28)-1</f>
        <v>0.6006876932379943</v>
      </c>
      <c r="AB28" s="52">
        <f t="shared" si="21"/>
        <v>6</v>
      </c>
      <c r="AC28" s="143">
        <f t="shared" si="28"/>
        <v>0.3</v>
      </c>
      <c r="AD28" s="144">
        <f t="shared" si="32"/>
        <v>7.9</v>
      </c>
      <c r="AE28" s="208">
        <f t="shared" si="29"/>
        <v>0</v>
      </c>
      <c r="AF28" s="162">
        <f t="shared" si="22"/>
        <v>0.9698165354852814</v>
      </c>
      <c r="AG28" s="186">
        <f>IF(ABS(AF28)&lt;10,SIGN(AF28)*ERF(ABS(AF28)),SIGN(AF28))</f>
        <v>0.8297894216902277</v>
      </c>
      <c r="AH28" s="202">
        <f t="shared" si="23"/>
        <v>1.2340717222660118</v>
      </c>
      <c r="AI28" s="202">
        <f t="shared" si="24"/>
        <v>0.7055613487045507</v>
      </c>
    </row>
    <row r="29" spans="1:35" s="26" customFormat="1" ht="15" customHeight="1">
      <c r="A29" s="127">
        <f t="shared" si="30"/>
        <v>0.2250000000000001</v>
      </c>
      <c r="B29" s="49">
        <f t="shared" si="0"/>
        <v>-117.7609329446064</v>
      </c>
      <c r="C29" s="135">
        <f t="shared" si="1"/>
        <v>0.026949999999999998</v>
      </c>
      <c r="D29" s="150">
        <f t="shared" si="2"/>
        <v>20164.60852544817</v>
      </c>
      <c r="E29" s="150">
        <f t="shared" si="3"/>
        <v>8888.888888888885</v>
      </c>
      <c r="F29" s="108">
        <f t="shared" si="25"/>
        <v>75.95459051993416</v>
      </c>
      <c r="G29" s="108">
        <f t="shared" si="4"/>
        <v>85.7870476455055</v>
      </c>
      <c r="H29" s="50">
        <f t="shared" si="5"/>
        <v>1.990546849562734</v>
      </c>
      <c r="I29" s="49">
        <f t="shared" si="6"/>
        <v>0.8150839018289031</v>
      </c>
      <c r="J29" s="49">
        <f t="shared" si="7"/>
        <v>-0.3002931390306123</v>
      </c>
      <c r="K29" s="49">
        <f t="shared" si="8"/>
        <v>0.03048677609569916</v>
      </c>
      <c r="L29" s="49">
        <f t="shared" si="9"/>
        <v>0.10231607066894473</v>
      </c>
      <c r="M29" s="49">
        <f t="shared" si="26"/>
        <v>0.0012385614413579146</v>
      </c>
      <c r="N29" s="49">
        <f t="shared" si="27"/>
        <v>0.13744174360462924</v>
      </c>
      <c r="O29" s="49">
        <f t="shared" si="10"/>
        <v>0.17305325712489888</v>
      </c>
      <c r="P29" s="49">
        <f t="shared" si="11"/>
        <v>0</v>
      </c>
      <c r="Q29" s="49">
        <f t="shared" si="12"/>
        <v>0.3</v>
      </c>
      <c r="R29" s="206">
        <f t="shared" si="13"/>
        <v>0.4081967262909636</v>
      </c>
      <c r="S29" s="53">
        <f t="shared" si="14"/>
        <v>3.9266385490810736</v>
      </c>
      <c r="T29" s="49">
        <f t="shared" si="15"/>
        <v>2.315083901828903</v>
      </c>
      <c r="U29" s="49">
        <f t="shared" si="16"/>
        <v>3.1115546472521705</v>
      </c>
      <c r="V29" s="54">
        <f t="shared" si="17"/>
        <v>2.0733614509189264</v>
      </c>
      <c r="W29" s="99">
        <f t="shared" si="18"/>
        <v>-8.223280628119866</v>
      </c>
      <c r="X29" s="25">
        <f t="shared" si="31"/>
        <v>-0.2956546491627843</v>
      </c>
      <c r="Y29" s="23">
        <f t="shared" si="19"/>
        <v>1.978027515771426</v>
      </c>
      <c r="Z29" s="23">
        <f t="shared" si="20"/>
        <v>1.978027515771426</v>
      </c>
      <c r="AA29" s="214">
        <f>ERF(AH29)+ERF(AI29)-1</f>
        <v>0.5756064375471635</v>
      </c>
      <c r="AB29" s="52">
        <f t="shared" si="21"/>
        <v>6</v>
      </c>
      <c r="AC29" s="143">
        <f t="shared" si="28"/>
        <v>0.3</v>
      </c>
      <c r="AD29" s="144">
        <f t="shared" si="32"/>
        <v>7.9</v>
      </c>
      <c r="AE29" s="208">
        <f t="shared" si="29"/>
        <v>0</v>
      </c>
      <c r="AF29" s="162">
        <f t="shared" si="22"/>
        <v>0.9397752477491588</v>
      </c>
      <c r="AG29" s="186">
        <f>IF(ABS(AF29)&lt;10,SIGN(AF29)*ERF(ABS(AF29)),SIGN(AF29))</f>
        <v>0.8161661125674556</v>
      </c>
      <c r="AH29" s="202">
        <f t="shared" si="23"/>
        <v>1.1958447975445698</v>
      </c>
      <c r="AI29" s="202">
        <f t="shared" si="24"/>
        <v>0.6837056979537476</v>
      </c>
    </row>
    <row r="30" spans="1:35" s="20" customFormat="1" ht="15" customHeight="1">
      <c r="A30" s="126">
        <f t="shared" si="30"/>
        <v>0.2400000000000001</v>
      </c>
      <c r="B30" s="97">
        <f t="shared" si="0"/>
        <v>-117.7609329446064</v>
      </c>
      <c r="C30" s="134">
        <f t="shared" si="1"/>
        <v>0.026949999999999998</v>
      </c>
      <c r="D30" s="149">
        <f t="shared" si="2"/>
        <v>18904.320492607658</v>
      </c>
      <c r="E30" s="149">
        <f t="shared" si="3"/>
        <v>8333.33333333333</v>
      </c>
      <c r="F30" s="107">
        <f t="shared" si="25"/>
        <v>79.05017039914232</v>
      </c>
      <c r="G30" s="107">
        <f t="shared" si="4"/>
        <v>88.53952316798863</v>
      </c>
      <c r="H30" s="100">
        <f t="shared" si="5"/>
        <v>2.1873498729453673</v>
      </c>
      <c r="I30" s="97">
        <f t="shared" si="6"/>
        <v>0.8694228286174966</v>
      </c>
      <c r="J30" s="97">
        <f t="shared" si="7"/>
        <v>-0.3203126816326531</v>
      </c>
      <c r="K30" s="97">
        <f t="shared" si="8"/>
        <v>0.034475803121042654</v>
      </c>
      <c r="L30" s="97">
        <f t="shared" si="9"/>
        <v>0.1317237203376254</v>
      </c>
      <c r="M30" s="97">
        <f t="shared" si="26"/>
        <v>0.0012000576192404081</v>
      </c>
      <c r="N30" s="97">
        <f t="shared" si="27"/>
        <v>0.13303537425916517</v>
      </c>
      <c r="O30" s="97">
        <f t="shared" si="10"/>
        <v>0.202735738442075</v>
      </c>
      <c r="P30" s="97">
        <f t="shared" si="11"/>
        <v>0</v>
      </c>
      <c r="Q30" s="97">
        <f t="shared" si="12"/>
        <v>0.3</v>
      </c>
      <c r="R30" s="205">
        <f t="shared" si="13"/>
        <v>0.4100712874724777</v>
      </c>
      <c r="S30" s="98">
        <f t="shared" si="14"/>
        <v>4.234338822074207</v>
      </c>
      <c r="T30" s="97">
        <f t="shared" si="15"/>
        <v>2.3694228286174965</v>
      </c>
      <c r="U30" s="97">
        <f t="shared" si="16"/>
        <v>3.3649159934567106</v>
      </c>
      <c r="V30" s="102">
        <f t="shared" si="17"/>
        <v>1.765661177925793</v>
      </c>
      <c r="W30" s="103">
        <f t="shared" si="18"/>
        <v>-8.279494116089975</v>
      </c>
      <c r="X30" s="27">
        <f t="shared" si="31"/>
        <v>-0.32093765246346306</v>
      </c>
      <c r="Y30" s="18">
        <f t="shared" si="19"/>
        <v>1.978027515771426</v>
      </c>
      <c r="Z30" s="18">
        <f t="shared" si="20"/>
        <v>1.978027515771426</v>
      </c>
      <c r="AA30" s="216">
        <f>ERF(AH30)+ERF(AI30)-1</f>
        <v>0.5498672879982103</v>
      </c>
      <c r="AB30" s="101">
        <f t="shared" si="21"/>
        <v>6</v>
      </c>
      <c r="AC30" s="192">
        <f t="shared" si="28"/>
        <v>0.3</v>
      </c>
      <c r="AD30" s="193">
        <f t="shared" si="32"/>
        <v>7.9</v>
      </c>
      <c r="AE30" s="207">
        <f t="shared" si="29"/>
        <v>0</v>
      </c>
      <c r="AF30" s="161">
        <f t="shared" si="22"/>
        <v>0.9105599518732452</v>
      </c>
      <c r="AG30" s="185">
        <f>IF(ABS(AF30)&lt;10,SIGN(AF30)*ERF(ABS(AF30)),SIGN(AF30))</f>
        <v>0.8021586399680131</v>
      </c>
      <c r="AH30" s="200">
        <f t="shared" si="23"/>
        <v>1.158668930585301</v>
      </c>
      <c r="AI30" s="200">
        <f t="shared" si="24"/>
        <v>0.6624509731611893</v>
      </c>
    </row>
    <row r="31" spans="1:35" s="26" customFormat="1" ht="15" customHeight="1">
      <c r="A31" s="127">
        <f t="shared" si="30"/>
        <v>0.2550000000000001</v>
      </c>
      <c r="B31" s="49">
        <f t="shared" si="0"/>
        <v>-117.7609329446064</v>
      </c>
      <c r="C31" s="135">
        <f t="shared" si="1"/>
        <v>0.026949999999999998</v>
      </c>
      <c r="D31" s="150">
        <f t="shared" si="2"/>
        <v>17792.301640101326</v>
      </c>
      <c r="E31" s="150">
        <f t="shared" si="3"/>
        <v>7843.137254901957</v>
      </c>
      <c r="F31" s="108">
        <f t="shared" si="25"/>
        <v>82.21749089356979</v>
      </c>
      <c r="G31" s="108">
        <f t="shared" si="4"/>
        <v>91.37851788859125</v>
      </c>
      <c r="H31" s="50">
        <f t="shared" si="5"/>
        <v>2.397800262358893</v>
      </c>
      <c r="I31" s="49">
        <f t="shared" si="6"/>
        <v>0.9237617554060903</v>
      </c>
      <c r="J31" s="49">
        <f t="shared" si="7"/>
        <v>-0.34033222423469395</v>
      </c>
      <c r="K31" s="49">
        <f t="shared" si="8"/>
        <v>0.038668078073904204</v>
      </c>
      <c r="L31" s="49">
        <f t="shared" si="9"/>
        <v>0.1670444122875453</v>
      </c>
      <c r="M31" s="49">
        <f t="shared" si="26"/>
        <v>0.00116277361284411</v>
      </c>
      <c r="N31" s="49">
        <f t="shared" si="27"/>
        <v>0.12877710450503568</v>
      </c>
      <c r="O31" s="49">
        <f t="shared" si="10"/>
        <v>0.23917325510744256</v>
      </c>
      <c r="P31" s="49">
        <f t="shared" si="11"/>
        <v>0</v>
      </c>
      <c r="Q31" s="49">
        <f t="shared" si="12"/>
        <v>0.3</v>
      </c>
      <c r="R31" s="206">
        <f t="shared" si="13"/>
        <v>0.41195706434299373</v>
      </c>
      <c r="S31" s="53">
        <f t="shared" si="14"/>
        <v>4.568513854008</v>
      </c>
      <c r="T31" s="49">
        <f t="shared" si="15"/>
        <v>2.4237617554060904</v>
      </c>
      <c r="U31" s="49">
        <f t="shared" si="16"/>
        <v>3.6447520986019093</v>
      </c>
      <c r="V31" s="54">
        <f t="shared" si="17"/>
        <v>1.4314861459920003</v>
      </c>
      <c r="W31" s="99">
        <f t="shared" si="18"/>
        <v>-8.335718819749085</v>
      </c>
      <c r="X31" s="25">
        <f t="shared" si="31"/>
        <v>-0.3489568629961668</v>
      </c>
      <c r="Y31" s="23">
        <f t="shared" si="19"/>
        <v>1.978027515771426</v>
      </c>
      <c r="Z31" s="23">
        <f t="shared" si="20"/>
        <v>1.978027515771426</v>
      </c>
      <c r="AA31" s="214">
        <f>ERF(AH31)+ERF(AI31)-1</f>
        <v>0.5236296949346844</v>
      </c>
      <c r="AB31" s="52">
        <f t="shared" si="21"/>
        <v>6</v>
      </c>
      <c r="AC31" s="143">
        <f t="shared" si="28"/>
        <v>0.3</v>
      </c>
      <c r="AD31" s="144">
        <f t="shared" si="32"/>
        <v>7.9</v>
      </c>
      <c r="AE31" s="208">
        <f t="shared" si="29"/>
        <v>0</v>
      </c>
      <c r="AF31" s="162">
        <f t="shared" si="22"/>
        <v>0.8822702076763429</v>
      </c>
      <c r="AG31" s="186">
        <f>IF(ABS(AF31)&lt;10,SIGN(AF31)*ERF(ABS(AF31)),SIGN(AF31))</f>
        <v>0.7878657381372954</v>
      </c>
      <c r="AH31" s="202">
        <f t="shared" si="23"/>
        <v>1.1226708092230304</v>
      </c>
      <c r="AI31" s="202">
        <f t="shared" si="24"/>
        <v>0.6418696061296554</v>
      </c>
    </row>
    <row r="32" spans="1:35" s="26" customFormat="1" ht="15" customHeight="1">
      <c r="A32" s="127">
        <f t="shared" si="30"/>
        <v>0.27000000000000013</v>
      </c>
      <c r="B32" s="49">
        <f t="shared" si="0"/>
        <v>-117.7609329446064</v>
      </c>
      <c r="C32" s="135">
        <f t="shared" si="1"/>
        <v>0.026949999999999998</v>
      </c>
      <c r="D32" s="150">
        <f t="shared" si="2"/>
        <v>16803.840437873474</v>
      </c>
      <c r="E32" s="150">
        <f t="shared" si="3"/>
        <v>7407.407407407404</v>
      </c>
      <c r="F32" s="108">
        <f t="shared" si="25"/>
        <v>85.44857475202998</v>
      </c>
      <c r="G32" s="108">
        <f t="shared" si="4"/>
        <v>94.2962175796814</v>
      </c>
      <c r="H32" s="50">
        <f t="shared" si="5"/>
        <v>2.6220329775967484</v>
      </c>
      <c r="I32" s="49">
        <f t="shared" si="6"/>
        <v>0.9781006821946838</v>
      </c>
      <c r="J32" s="49">
        <f t="shared" si="7"/>
        <v>-0.36035176683673475</v>
      </c>
      <c r="K32" s="49">
        <f t="shared" si="8"/>
        <v>0.043054256605650834</v>
      </c>
      <c r="L32" s="49">
        <f t="shared" si="9"/>
        <v>0.20907462737480598</v>
      </c>
      <c r="M32" s="49">
        <f t="shared" si="26"/>
        <v>0.0011267952427876842</v>
      </c>
      <c r="N32" s="49">
        <f t="shared" si="27"/>
        <v>0.12467585554214317</v>
      </c>
      <c r="O32" s="49">
        <f t="shared" si="10"/>
        <v>0.28434647504983773</v>
      </c>
      <c r="P32" s="49">
        <f t="shared" si="11"/>
        <v>0</v>
      </c>
      <c r="Q32" s="49">
        <f t="shared" si="12"/>
        <v>0.3</v>
      </c>
      <c r="R32" s="206">
        <f t="shared" si="13"/>
        <v>0.4140219303083219</v>
      </c>
      <c r="S32" s="53">
        <f t="shared" si="14"/>
        <v>4.932252548066541</v>
      </c>
      <c r="T32" s="49">
        <f t="shared" si="15"/>
        <v>2.478100682194684</v>
      </c>
      <c r="U32" s="49">
        <f t="shared" si="16"/>
        <v>3.954151865871857</v>
      </c>
      <c r="V32" s="54">
        <f t="shared" si="17"/>
        <v>1.0677474519334593</v>
      </c>
      <c r="W32" s="99">
        <f t="shared" si="18"/>
        <v>-8.392122612503005</v>
      </c>
      <c r="X32" s="25">
        <f t="shared" si="31"/>
        <v>-0.3805749674634673</v>
      </c>
      <c r="Y32" s="23">
        <f t="shared" si="19"/>
        <v>1.978027515771426</v>
      </c>
      <c r="Z32" s="23">
        <f t="shared" si="20"/>
        <v>1.978027515771426</v>
      </c>
      <c r="AA32" s="214">
        <f>ERF(AH32)+ERF(AI32)-1</f>
        <v>0.4970436264077924</v>
      </c>
      <c r="AB32" s="52">
        <f t="shared" si="21"/>
        <v>6</v>
      </c>
      <c r="AC32" s="143">
        <f t="shared" si="28"/>
        <v>0.3</v>
      </c>
      <c r="AD32" s="144">
        <f t="shared" si="32"/>
        <v>7.9</v>
      </c>
      <c r="AE32" s="208">
        <f t="shared" si="29"/>
        <v>0</v>
      </c>
      <c r="AF32" s="162">
        <f t="shared" si="22"/>
        <v>0.8549711327137648</v>
      </c>
      <c r="AG32" s="186">
        <f>IF(ABS(AF32)&lt;10,SIGN(AF32)*ERF(ABS(AF32)),SIGN(AF32))</f>
        <v>0.7733799794807482</v>
      </c>
      <c r="AH32" s="202">
        <f t="shared" si="23"/>
        <v>1.087933294216153</v>
      </c>
      <c r="AI32" s="202">
        <f t="shared" si="24"/>
        <v>0.6220089712113764</v>
      </c>
    </row>
    <row r="33" spans="1:35" s="26" customFormat="1" ht="15" customHeight="1">
      <c r="A33" s="127">
        <f t="shared" si="30"/>
        <v>0.28500000000000014</v>
      </c>
      <c r="B33" s="49">
        <f t="shared" si="0"/>
        <v>-117.7609329446064</v>
      </c>
      <c r="C33" s="135">
        <f t="shared" si="1"/>
        <v>0.026949999999999998</v>
      </c>
      <c r="D33" s="150">
        <f t="shared" si="2"/>
        <v>15919.427783248551</v>
      </c>
      <c r="E33" s="150">
        <f t="shared" si="3"/>
        <v>7017.543859649119</v>
      </c>
      <c r="F33" s="108">
        <f t="shared" si="25"/>
        <v>88.73645696719309</v>
      </c>
      <c r="G33" s="108">
        <f t="shared" si="4"/>
        <v>97.28554115474648</v>
      </c>
      <c r="H33" s="50">
        <f t="shared" si="5"/>
        <v>2.860286355000321</v>
      </c>
      <c r="I33" s="49">
        <f t="shared" si="6"/>
        <v>1.0324396089832775</v>
      </c>
      <c r="J33" s="49">
        <f t="shared" si="7"/>
        <v>-0.38037130943877556</v>
      </c>
      <c r="K33" s="49">
        <f t="shared" si="8"/>
        <v>0.047624657910340665</v>
      </c>
      <c r="L33" s="49">
        <f t="shared" si="9"/>
        <v>0.2587062761211891</v>
      </c>
      <c r="M33" s="49">
        <f t="shared" si="26"/>
        <v>0.0010921718491820654</v>
      </c>
      <c r="N33" s="49">
        <f t="shared" si="27"/>
        <v>0.12073636363209081</v>
      </c>
      <c r="O33" s="49">
        <f t="shared" si="10"/>
        <v>0.3410495815287554</v>
      </c>
      <c r="P33" s="49">
        <f t="shared" si="11"/>
        <v>0</v>
      </c>
      <c r="Q33" s="49">
        <f t="shared" si="12"/>
        <v>0.3</v>
      </c>
      <c r="R33" s="206">
        <f t="shared" si="13"/>
        <v>0.4164456036693007</v>
      </c>
      <c r="S33" s="53">
        <f t="shared" si="14"/>
        <v>5.329663788934934</v>
      </c>
      <c r="T33" s="49">
        <f t="shared" si="15"/>
        <v>2.5324396089832772</v>
      </c>
      <c r="U33" s="49">
        <f t="shared" si="16"/>
        <v>4.297224179951657</v>
      </c>
      <c r="V33" s="54">
        <f t="shared" si="17"/>
        <v>0.6703362110650657</v>
      </c>
      <c r="W33" s="99">
        <f t="shared" si="18"/>
        <v>-8.448885212652579</v>
      </c>
      <c r="X33" s="25">
        <f t="shared" si="31"/>
        <v>-0.4170634061750662</v>
      </c>
      <c r="Y33" s="23">
        <f t="shared" si="19"/>
        <v>1.978027515771426</v>
      </c>
      <c r="Z33" s="23">
        <f t="shared" si="20"/>
        <v>1.978027515771426</v>
      </c>
      <c r="AA33" s="214">
        <f>ERF(AH33)+ERF(AI33)-1</f>
        <v>0.4702478343269285</v>
      </c>
      <c r="AB33" s="52">
        <f t="shared" si="21"/>
        <v>6</v>
      </c>
      <c r="AC33" s="143">
        <f t="shared" si="28"/>
        <v>0.3</v>
      </c>
      <c r="AD33" s="144">
        <f t="shared" si="32"/>
        <v>7.9</v>
      </c>
      <c r="AE33" s="208">
        <f t="shared" si="29"/>
        <v>0</v>
      </c>
      <c r="AF33" s="162">
        <f t="shared" si="22"/>
        <v>0.8287001644621104</v>
      </c>
      <c r="AG33" s="186">
        <f>IF(ABS(AF33)&lt;10,SIGN(AF33)*ERF(ABS(AF33)),SIGN(AF33))</f>
        <v>0.758786352159792</v>
      </c>
      <c r="AH33" s="202">
        <f t="shared" si="23"/>
        <v>1.054504023988571</v>
      </c>
      <c r="AI33" s="202">
        <f t="shared" si="24"/>
        <v>0.6028963049356497</v>
      </c>
    </row>
    <row r="34" spans="1:35" s="26" customFormat="1" ht="15" customHeight="1">
      <c r="A34" s="127">
        <f t="shared" si="30"/>
        <v>0.30000000000000016</v>
      </c>
      <c r="B34" s="49">
        <f t="shared" si="0"/>
        <v>-117.7609329446064</v>
      </c>
      <c r="C34" s="135">
        <f t="shared" si="1"/>
        <v>0.026949999999999998</v>
      </c>
      <c r="D34" s="150">
        <f t="shared" si="2"/>
        <v>15123.456394086126</v>
      </c>
      <c r="E34" s="150">
        <f t="shared" si="3"/>
        <v>6666.666666666663</v>
      </c>
      <c r="F34" s="108">
        <f t="shared" si="25"/>
        <v>92.07505315038377</v>
      </c>
      <c r="G34" s="108">
        <f t="shared" si="4"/>
        <v>100.34008737950826</v>
      </c>
      <c r="H34" s="50">
        <f t="shared" si="5"/>
        <v>3.1129298482961265</v>
      </c>
      <c r="I34" s="49">
        <f t="shared" si="6"/>
        <v>1.086778535771871</v>
      </c>
      <c r="J34" s="49">
        <f t="shared" si="7"/>
        <v>-0.4003908520408164</v>
      </c>
      <c r="K34" s="49">
        <f t="shared" si="8"/>
        <v>0.05236930021414452</v>
      </c>
      <c r="L34" s="49">
        <f t="shared" si="9"/>
        <v>0.31695137680368407</v>
      </c>
      <c r="M34" s="49">
        <f t="shared" si="26"/>
        <v>0.0010589240268427012</v>
      </c>
      <c r="N34" s="49">
        <f t="shared" si="27"/>
        <v>0.11696010079503576</v>
      </c>
      <c r="O34" s="49">
        <f t="shared" si="10"/>
        <v>0.41333914139465416</v>
      </c>
      <c r="P34" s="49">
        <f t="shared" si="11"/>
        <v>0</v>
      </c>
      <c r="Q34" s="49">
        <f t="shared" si="12"/>
        <v>0.3</v>
      </c>
      <c r="R34" s="206">
        <f t="shared" si="13"/>
        <v>0.4194203573553028</v>
      </c>
      <c r="S34" s="53">
        <f t="shared" si="14"/>
        <v>5.766379360416673</v>
      </c>
      <c r="T34" s="49">
        <f t="shared" si="15"/>
        <v>2.586778535771871</v>
      </c>
      <c r="U34" s="49">
        <f t="shared" si="16"/>
        <v>4.679600824644802</v>
      </c>
      <c r="V34" s="54">
        <f t="shared" si="17"/>
        <v>0.2336206395833269</v>
      </c>
      <c r="W34" s="99">
        <f t="shared" si="18"/>
        <v>-8.506198893127173</v>
      </c>
      <c r="X34" s="25">
        <f t="shared" si="31"/>
        <v>-0.46036847844958917</v>
      </c>
      <c r="Y34" s="23">
        <f t="shared" si="19"/>
        <v>1.978027515771426</v>
      </c>
      <c r="Z34" s="23">
        <f t="shared" si="20"/>
        <v>1.978027515771426</v>
      </c>
      <c r="AA34" s="214">
        <f>ERF(AH34)+ERF(AI34)-1</f>
        <v>0.4433686479056993</v>
      </c>
      <c r="AB34" s="52">
        <f t="shared" si="21"/>
        <v>6</v>
      </c>
      <c r="AC34" s="143">
        <f t="shared" si="28"/>
        <v>0.3</v>
      </c>
      <c r="AD34" s="144">
        <f t="shared" si="32"/>
        <v>7.9</v>
      </c>
      <c r="AE34" s="208">
        <f t="shared" si="29"/>
        <v>0.2336206395833269</v>
      </c>
      <c r="AF34" s="162">
        <f t="shared" si="22"/>
        <v>0.8034729295161882</v>
      </c>
      <c r="AG34" s="186">
        <f>IF(ABS(AF34)&lt;10,SIGN(AF34)*ERF(ABS(AF34)),SIGN(AF34))</f>
        <v>0.7441614073188105</v>
      </c>
      <c r="AH34" s="202">
        <f t="shared" si="23"/>
        <v>1.0224028830628336</v>
      </c>
      <c r="AI34" s="202">
        <f t="shared" si="24"/>
        <v>0.5845429759695429</v>
      </c>
    </row>
    <row r="35" spans="1:35" s="79" customFormat="1" ht="15" customHeight="1">
      <c r="A35" s="128">
        <f t="shared" si="30"/>
        <v>0.31500000000000017</v>
      </c>
      <c r="B35" s="74">
        <f t="shared" si="0"/>
        <v>-117.7609329446064</v>
      </c>
      <c r="C35" s="136">
        <f t="shared" si="1"/>
        <v>0.026949999999999998</v>
      </c>
      <c r="D35" s="151">
        <f t="shared" si="2"/>
        <v>14403.291803891547</v>
      </c>
      <c r="E35" s="151">
        <f t="shared" si="3"/>
        <v>6349.206349206346</v>
      </c>
      <c r="F35" s="109">
        <f t="shared" si="25"/>
        <v>95.45904242039992</v>
      </c>
      <c r="G35" s="109">
        <f t="shared" si="4"/>
        <v>103.45407919700929</v>
      </c>
      <c r="H35" s="75">
        <f t="shared" si="5"/>
        <v>3.380494035175736</v>
      </c>
      <c r="I35" s="74">
        <f t="shared" si="6"/>
        <v>1.1411174625604645</v>
      </c>
      <c r="J35" s="74">
        <f t="shared" si="7"/>
        <v>-0.42041039464285723</v>
      </c>
      <c r="K35" s="74">
        <f t="shared" si="8"/>
        <v>0.057277936953254525</v>
      </c>
      <c r="L35" s="74">
        <f t="shared" si="9"/>
        <v>0.38497549708260353</v>
      </c>
      <c r="M35" s="74">
        <f t="shared" si="26"/>
        <v>0.0010270501676334963</v>
      </c>
      <c r="N35" s="74">
        <f t="shared" si="27"/>
        <v>0.11334604683708822</v>
      </c>
      <c r="O35" s="74">
        <f t="shared" si="10"/>
        <v>0.5073147590093573</v>
      </c>
      <c r="P35" s="74">
        <f t="shared" si="11"/>
        <v>0</v>
      </c>
      <c r="Q35" s="74">
        <f t="shared" si="12"/>
        <v>0.3</v>
      </c>
      <c r="R35" s="204">
        <f t="shared" si="13"/>
        <v>0.42315294516886315</v>
      </c>
      <c r="S35" s="77">
        <f t="shared" si="14"/>
        <v>6.250400745834113</v>
      </c>
      <c r="T35" s="74">
        <f t="shared" si="15"/>
        <v>2.6411174625604645</v>
      </c>
      <c r="U35" s="74">
        <f t="shared" si="16"/>
        <v>5.109283283273648</v>
      </c>
      <c r="V35" s="102">
        <f t="shared" si="17"/>
        <v>-0.25040074583411265</v>
      </c>
      <c r="W35" s="104">
        <f t="shared" si="18"/>
        <v>-8.564270407729328</v>
      </c>
      <c r="X35" s="78"/>
      <c r="Y35" s="74">
        <f t="shared" si="19"/>
        <v>1.978027515771426</v>
      </c>
      <c r="Z35" s="74">
        <f t="shared" si="20"/>
        <v>1.978027515771426</v>
      </c>
      <c r="AA35" s="163">
        <f>ERF(AH35)+ERF(AI35)-1</f>
        <v>0.4165194650741675</v>
      </c>
      <c r="AB35" s="76">
        <f t="shared" si="21"/>
        <v>6</v>
      </c>
      <c r="AC35" s="195">
        <f t="shared" si="28"/>
        <v>0.3</v>
      </c>
      <c r="AD35" s="196">
        <f>ROUNDUP(E9,0)-0.1</f>
        <v>7.9</v>
      </c>
      <c r="AE35" s="209">
        <f t="shared" si="29"/>
        <v>0</v>
      </c>
      <c r="AF35" s="163">
        <f t="shared" si="22"/>
        <v>0.7792882076809827</v>
      </c>
      <c r="AG35" s="188">
        <f>IF(ABS(AF35)&lt;10,SIGN(AF35)*ERF(ABS(AF35)),SIGN(AF35))</f>
        <v>0.7295728896845599</v>
      </c>
      <c r="AH35" s="199">
        <f t="shared" si="23"/>
        <v>0.9916283187657192</v>
      </c>
      <c r="AI35" s="199">
        <f t="shared" si="24"/>
        <v>0.5669480965962462</v>
      </c>
    </row>
    <row r="36" spans="1:31" ht="15" customHeight="1">
      <c r="A36" s="2"/>
      <c r="B36" s="1"/>
      <c r="C36" s="1"/>
      <c r="D36" s="8"/>
      <c r="E36" s="1"/>
      <c r="F36" s="1"/>
      <c r="G36" s="2"/>
      <c r="H36" s="4"/>
      <c r="I36" s="4"/>
      <c r="J36" s="4"/>
      <c r="K36" s="4"/>
      <c r="L36" s="1"/>
      <c r="M36" s="4"/>
      <c r="N36" s="4"/>
      <c r="O36" s="4"/>
      <c r="P36" s="4"/>
      <c r="Q36" s="4"/>
      <c r="R36" s="55"/>
      <c r="S36" s="13"/>
      <c r="U36" s="13"/>
      <c r="V36" s="13"/>
      <c r="W36" s="14"/>
      <c r="AA36" s="5"/>
      <c r="AB36" s="6"/>
      <c r="AE36" s="210">
        <f>SUM(AE15:AE35)</f>
        <v>0.2336206395833269</v>
      </c>
    </row>
    <row r="37" spans="1:27" s="26" customFormat="1" ht="15" customHeight="1">
      <c r="A37" s="80" t="s">
        <v>69</v>
      </c>
      <c r="B37" s="22"/>
      <c r="C37" s="22"/>
      <c r="D37" s="21"/>
      <c r="E37" s="22"/>
      <c r="F37" s="22"/>
      <c r="G37" s="28"/>
      <c r="W37" s="31"/>
      <c r="X37" s="31"/>
      <c r="AA37" s="167"/>
    </row>
    <row r="38" spans="1:28" s="26" customFormat="1" ht="15" customHeight="1">
      <c r="A38" s="29" t="s">
        <v>120</v>
      </c>
      <c r="B38" s="22"/>
      <c r="C38" s="22"/>
      <c r="D38" s="21"/>
      <c r="E38" s="22"/>
      <c r="F38" s="22"/>
      <c r="G38" s="28"/>
      <c r="K38" s="23"/>
      <c r="L38" s="22"/>
      <c r="M38" s="23"/>
      <c r="N38" s="23"/>
      <c r="O38" s="23"/>
      <c r="P38" s="23"/>
      <c r="Q38" s="23"/>
      <c r="R38" s="59"/>
      <c r="S38" s="23"/>
      <c r="T38" s="30"/>
      <c r="U38" s="23"/>
      <c r="W38" s="31"/>
      <c r="X38" s="31"/>
      <c r="AA38" s="167"/>
      <c r="AB38" s="24"/>
    </row>
    <row r="39" spans="1:28" s="26" customFormat="1" ht="15" customHeight="1">
      <c r="A39" s="23"/>
      <c r="B39" s="168"/>
      <c r="C39" s="169"/>
      <c r="D39" s="169"/>
      <c r="E39" s="169"/>
      <c r="F39" s="169"/>
      <c r="G39" s="169"/>
      <c r="H39" s="169"/>
      <c r="I39" s="169"/>
      <c r="J39" s="169"/>
      <c r="K39" s="169"/>
      <c r="L39" s="22"/>
      <c r="M39" s="23"/>
      <c r="N39" s="23"/>
      <c r="O39" s="23"/>
      <c r="P39" s="23"/>
      <c r="Q39" s="23"/>
      <c r="R39" s="59"/>
      <c r="S39" s="23"/>
      <c r="T39" s="30"/>
      <c r="U39" s="23"/>
      <c r="W39" s="31"/>
      <c r="X39" s="31"/>
      <c r="AA39" s="167"/>
      <c r="AB39" s="24"/>
    </row>
    <row r="40" spans="1:28" s="26" customFormat="1" ht="15" customHeight="1">
      <c r="A40" s="29"/>
      <c r="B40" s="22"/>
      <c r="C40" s="22"/>
      <c r="D40" s="21"/>
      <c r="E40" s="22"/>
      <c r="F40" s="22"/>
      <c r="G40" s="28"/>
      <c r="H40" s="23"/>
      <c r="I40" s="23"/>
      <c r="J40" s="23"/>
      <c r="K40" s="23"/>
      <c r="L40" s="22"/>
      <c r="M40" s="23"/>
      <c r="N40" s="23"/>
      <c r="O40" s="23"/>
      <c r="P40" s="23"/>
      <c r="Q40" s="23"/>
      <c r="R40" s="59"/>
      <c r="S40" s="23"/>
      <c r="T40" s="30"/>
      <c r="U40" s="23"/>
      <c r="W40" s="31"/>
      <c r="X40" s="31"/>
      <c r="AA40" s="167"/>
      <c r="AB40" s="24"/>
    </row>
    <row r="41" spans="1:28" s="26" customFormat="1" ht="15" customHeight="1">
      <c r="A41" s="24"/>
      <c r="B41" s="22"/>
      <c r="C41" s="22"/>
      <c r="D41" s="21"/>
      <c r="E41" s="22"/>
      <c r="F41" s="22"/>
      <c r="G41" s="28"/>
      <c r="H41" s="23"/>
      <c r="I41" s="23"/>
      <c r="J41" s="23"/>
      <c r="K41" s="23"/>
      <c r="L41" s="22"/>
      <c r="M41" s="23"/>
      <c r="N41" s="23"/>
      <c r="O41" s="23"/>
      <c r="P41" s="23"/>
      <c r="Q41" s="23"/>
      <c r="R41" s="59"/>
      <c r="S41" s="23"/>
      <c r="T41" s="30"/>
      <c r="U41" s="23"/>
      <c r="W41" s="31"/>
      <c r="X41" s="31"/>
      <c r="AA41" s="167"/>
      <c r="AB41" s="24"/>
    </row>
    <row r="42" spans="1:28" s="26" customFormat="1" ht="15" customHeight="1">
      <c r="A42" s="24"/>
      <c r="B42" s="22"/>
      <c r="C42" s="22"/>
      <c r="D42" s="21"/>
      <c r="E42" s="22"/>
      <c r="F42" s="22"/>
      <c r="G42" s="28"/>
      <c r="H42" s="23"/>
      <c r="I42" s="23"/>
      <c r="J42" s="23"/>
      <c r="K42" s="23"/>
      <c r="L42" s="22"/>
      <c r="M42" s="23"/>
      <c r="N42" s="23"/>
      <c r="O42" s="23"/>
      <c r="P42" s="23"/>
      <c r="Q42" s="23"/>
      <c r="R42" s="59"/>
      <c r="S42" s="23"/>
      <c r="T42" s="30"/>
      <c r="U42" s="23"/>
      <c r="W42" s="31"/>
      <c r="X42" s="31"/>
      <c r="AA42" s="167"/>
      <c r="AB42" s="24"/>
    </row>
    <row r="43" spans="1:28" s="26" customFormat="1" ht="15" customHeight="1">
      <c r="A43" s="28"/>
      <c r="D43" s="21"/>
      <c r="E43" s="22"/>
      <c r="F43" s="22"/>
      <c r="G43" s="28"/>
      <c r="H43" s="23"/>
      <c r="I43" s="23"/>
      <c r="J43" s="23"/>
      <c r="K43" s="23"/>
      <c r="L43" s="22"/>
      <c r="M43" s="23"/>
      <c r="N43" s="23"/>
      <c r="O43" s="23"/>
      <c r="P43" s="23"/>
      <c r="Q43" s="23"/>
      <c r="R43" s="59"/>
      <c r="S43" s="23"/>
      <c r="T43" s="30"/>
      <c r="U43" s="23"/>
      <c r="W43" s="31"/>
      <c r="X43" s="31"/>
      <c r="AA43" s="167"/>
      <c r="AB43" s="24"/>
    </row>
    <row r="44" spans="1:28" s="26" customFormat="1" ht="15" customHeight="1">
      <c r="A44" s="28"/>
      <c r="B44" s="22"/>
      <c r="D44" s="21"/>
      <c r="E44" s="22"/>
      <c r="F44" s="22"/>
      <c r="G44" s="28"/>
      <c r="H44" s="23"/>
      <c r="I44" s="23"/>
      <c r="J44" s="23"/>
      <c r="K44" s="23"/>
      <c r="L44" s="22"/>
      <c r="M44" s="23"/>
      <c r="N44" s="23"/>
      <c r="O44" s="23"/>
      <c r="P44" s="23"/>
      <c r="Q44" s="23"/>
      <c r="R44" s="59"/>
      <c r="S44" s="23"/>
      <c r="T44" s="30"/>
      <c r="U44" s="23"/>
      <c r="W44" s="31"/>
      <c r="X44" s="31"/>
      <c r="AA44" s="167"/>
      <c r="AB44" s="24"/>
    </row>
    <row r="45" spans="1:28" s="26" customFormat="1" ht="15" customHeight="1">
      <c r="A45" s="28"/>
      <c r="B45" s="22"/>
      <c r="D45" s="21"/>
      <c r="E45" s="22"/>
      <c r="F45" s="22"/>
      <c r="G45" s="28"/>
      <c r="H45" s="23"/>
      <c r="I45" s="23"/>
      <c r="J45" s="23"/>
      <c r="K45" s="23"/>
      <c r="L45" s="22"/>
      <c r="M45" s="23"/>
      <c r="N45" s="23"/>
      <c r="O45" s="23"/>
      <c r="P45" s="23"/>
      <c r="Q45" s="23"/>
      <c r="R45" s="59"/>
      <c r="S45" s="23"/>
      <c r="T45" s="30"/>
      <c r="U45" s="23"/>
      <c r="W45" s="31"/>
      <c r="X45" s="31"/>
      <c r="AA45" s="167"/>
      <c r="AB45" s="24"/>
    </row>
    <row r="46" spans="1:28" ht="15" customHeight="1">
      <c r="A46" s="28"/>
      <c r="B46" s="22"/>
      <c r="D46" s="8"/>
      <c r="E46" s="1"/>
      <c r="F46" s="1"/>
      <c r="G46" s="2"/>
      <c r="H46" s="4"/>
      <c r="I46" s="4"/>
      <c r="J46" s="4"/>
      <c r="K46" s="4"/>
      <c r="L46" s="1"/>
      <c r="M46" s="4"/>
      <c r="N46" s="4"/>
      <c r="O46" s="4"/>
      <c r="P46" s="4"/>
      <c r="Q46" s="4"/>
      <c r="R46" s="55"/>
      <c r="S46" s="4"/>
      <c r="U46" s="4"/>
      <c r="AB46" s="6"/>
    </row>
    <row r="47" spans="1:28" ht="15" customHeight="1">
      <c r="A47" s="2"/>
      <c r="B47" s="22"/>
      <c r="C47" s="1"/>
      <c r="D47" s="8"/>
      <c r="E47" s="1"/>
      <c r="F47" s="1"/>
      <c r="G47" s="2"/>
      <c r="H47" s="4"/>
      <c r="I47" s="4"/>
      <c r="J47" s="4"/>
      <c r="K47" s="4"/>
      <c r="L47" s="1"/>
      <c r="M47" s="4"/>
      <c r="N47" s="1"/>
      <c r="O47" s="1"/>
      <c r="P47" s="1"/>
      <c r="Q47" s="4"/>
      <c r="R47" s="55"/>
      <c r="S47" s="4"/>
      <c r="U47" s="4"/>
      <c r="AB47" s="6"/>
    </row>
    <row r="48" spans="1:28" ht="15" customHeight="1">
      <c r="A48" s="2"/>
      <c r="B48" s="22"/>
      <c r="C48" s="1"/>
      <c r="D48" s="8"/>
      <c r="E48" s="1"/>
      <c r="F48" s="1"/>
      <c r="G48" s="2"/>
      <c r="H48" s="4"/>
      <c r="I48" s="4"/>
      <c r="J48" s="4"/>
      <c r="K48" s="4"/>
      <c r="L48" s="1"/>
      <c r="M48" s="4"/>
      <c r="N48" s="1"/>
      <c r="O48" s="1"/>
      <c r="P48" s="1"/>
      <c r="Q48" s="1"/>
      <c r="R48" s="60"/>
      <c r="S48" s="4"/>
      <c r="U48" s="4"/>
      <c r="AB48" s="6"/>
    </row>
    <row r="49" spans="1:28" ht="15" customHeight="1">
      <c r="A49" s="24"/>
      <c r="B49" s="22"/>
      <c r="C49" s="1"/>
      <c r="D49" s="8"/>
      <c r="E49" s="1"/>
      <c r="F49" s="1"/>
      <c r="G49" s="2"/>
      <c r="H49" s="4"/>
      <c r="I49" s="4"/>
      <c r="J49" s="4"/>
      <c r="K49" s="4"/>
      <c r="L49" s="1"/>
      <c r="M49" s="4"/>
      <c r="N49" s="1"/>
      <c r="O49" s="1"/>
      <c r="P49" s="1"/>
      <c r="Q49" s="4"/>
      <c r="R49" s="55"/>
      <c r="S49" s="4"/>
      <c r="U49" s="4"/>
      <c r="AB49" s="6"/>
    </row>
    <row r="50" spans="1:16" ht="15" customHeight="1">
      <c r="A50" s="15"/>
      <c r="B50" s="148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4"/>
      <c r="O50" s="4"/>
      <c r="P50" s="4"/>
    </row>
    <row r="51" spans="1:16" ht="15" customHeight="1">
      <c r="A51" s="24"/>
      <c r="B51" s="148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4"/>
      <c r="O51" s="4"/>
      <c r="P51" s="4"/>
    </row>
    <row r="52" spans="1:16" ht="15" customHeight="1">
      <c r="A52" s="15"/>
      <c r="B52" s="148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4"/>
      <c r="O52" s="4"/>
      <c r="P52" s="4"/>
    </row>
    <row r="53" spans="1:16" ht="1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4"/>
      <c r="O53" s="4"/>
      <c r="P53" s="4"/>
    </row>
    <row r="54" spans="1:16" ht="1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4"/>
      <c r="O54" s="4"/>
      <c r="P54" s="4"/>
    </row>
    <row r="55" spans="1:16" ht="1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4"/>
      <c r="O55" s="4"/>
      <c r="P55" s="4"/>
    </row>
    <row r="56" spans="1:16" ht="1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4"/>
      <c r="O56" s="4"/>
      <c r="P56" s="4"/>
    </row>
    <row r="57" spans="1:16" ht="1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4"/>
      <c r="O57" s="4"/>
      <c r="P57" s="4"/>
    </row>
    <row r="58" spans="1:16" ht="1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4"/>
      <c r="O58" s="4"/>
      <c r="P58" s="4"/>
    </row>
    <row r="59" spans="1:16" ht="1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4"/>
      <c r="O59" s="4"/>
      <c r="P59" s="4"/>
    </row>
    <row r="60" spans="1:16" ht="1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4"/>
      <c r="O60" s="4"/>
      <c r="P60" s="4"/>
    </row>
    <row r="61" spans="1:16" ht="1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4"/>
      <c r="O61" s="4"/>
      <c r="P61" s="4"/>
    </row>
    <row r="62" spans="1:16" ht="1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4"/>
      <c r="O62" s="4"/>
      <c r="P62" s="4"/>
    </row>
    <row r="63" spans="1:16" ht="1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4"/>
      <c r="O63" s="4"/>
      <c r="P63" s="4"/>
    </row>
    <row r="64" spans="1:16" ht="1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4"/>
      <c r="O64" s="4"/>
      <c r="P64" s="4"/>
    </row>
    <row r="65" spans="1:16" ht="1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4"/>
      <c r="O65" s="4"/>
      <c r="P65" s="4"/>
    </row>
    <row r="66" spans="1:16" ht="15" customHeight="1">
      <c r="A66" s="2"/>
      <c r="B66" s="1"/>
      <c r="C66" s="1"/>
      <c r="D66" s="8"/>
      <c r="E66" s="1"/>
      <c r="F66" s="1"/>
      <c r="G66" s="2"/>
      <c r="H66" s="4"/>
      <c r="I66" s="4"/>
      <c r="J66" s="4"/>
      <c r="K66" s="4"/>
      <c r="L66" s="1"/>
      <c r="M66" s="4"/>
      <c r="N66" s="4"/>
      <c r="O66" s="4"/>
      <c r="P66" s="4"/>
    </row>
    <row r="67" spans="1:16" ht="15" customHeight="1">
      <c r="A67" s="2"/>
      <c r="B67" s="1"/>
      <c r="C67" s="1"/>
      <c r="D67" s="8"/>
      <c r="E67" s="1"/>
      <c r="F67" s="1"/>
      <c r="G67" s="2"/>
      <c r="H67" s="4"/>
      <c r="I67" s="4"/>
      <c r="J67" s="4"/>
      <c r="K67" s="4"/>
      <c r="L67" s="1"/>
      <c r="M67" s="4"/>
      <c r="N67" s="4"/>
      <c r="O67" s="4"/>
      <c r="P67" s="4"/>
    </row>
    <row r="68" spans="1:16" ht="15" customHeight="1">
      <c r="A68" s="2"/>
      <c r="B68" s="1"/>
      <c r="C68" s="1"/>
      <c r="D68" s="8"/>
      <c r="E68" s="1"/>
      <c r="F68" s="1"/>
      <c r="G68" s="2"/>
      <c r="H68" s="4"/>
      <c r="I68" s="4"/>
      <c r="J68" s="4"/>
      <c r="K68" s="4"/>
      <c r="L68" s="1"/>
      <c r="M68" s="4"/>
      <c r="N68" s="4"/>
      <c r="O68" s="4"/>
      <c r="P68" s="4"/>
    </row>
    <row r="69" spans="1:16" ht="15" customHeight="1">
      <c r="A69" s="2"/>
      <c r="B69" s="1"/>
      <c r="C69" s="1"/>
      <c r="D69" s="8"/>
      <c r="E69" s="1"/>
      <c r="F69" s="1"/>
      <c r="G69" s="2"/>
      <c r="H69" s="4"/>
      <c r="I69" s="4"/>
      <c r="J69" s="4"/>
      <c r="K69" s="4"/>
      <c r="L69" s="1"/>
      <c r="M69" s="4"/>
      <c r="N69" s="4"/>
      <c r="O69" s="4"/>
      <c r="P69" s="4"/>
    </row>
    <row r="70" spans="1:16" ht="15" customHeight="1">
      <c r="A70" s="2"/>
      <c r="B70" s="1"/>
      <c r="C70" s="1"/>
      <c r="D70" s="8"/>
      <c r="E70" s="1"/>
      <c r="F70" s="1"/>
      <c r="G70" s="2"/>
      <c r="H70" s="4"/>
      <c r="I70" s="4"/>
      <c r="J70" s="4"/>
      <c r="K70" s="4"/>
      <c r="L70" s="1"/>
      <c r="M70" s="4"/>
      <c r="N70" s="4"/>
      <c r="O70" s="4"/>
      <c r="P70" s="4"/>
    </row>
    <row r="71" spans="1:16" ht="15" customHeight="1">
      <c r="A71" s="3"/>
      <c r="B71" s="4"/>
      <c r="C71" s="2"/>
      <c r="D71" s="8"/>
      <c r="E71" s="1"/>
      <c r="F71" s="1"/>
      <c r="G71" s="2"/>
      <c r="H71" s="4"/>
      <c r="I71" s="4"/>
      <c r="J71" s="4"/>
      <c r="K71" s="4"/>
      <c r="L71" s="1"/>
      <c r="M71" s="1"/>
      <c r="N71" s="1"/>
      <c r="O71" s="1"/>
      <c r="P71" s="1"/>
    </row>
    <row r="72" spans="1:16" ht="15" customHeight="1">
      <c r="A72" s="6"/>
      <c r="B72" s="1"/>
      <c r="C72" s="9"/>
      <c r="D72" s="8"/>
      <c r="E72" s="1"/>
      <c r="F72" s="1"/>
      <c r="G72" s="2"/>
      <c r="H72" s="4"/>
      <c r="I72" s="4"/>
      <c r="J72" s="4"/>
      <c r="K72" s="1"/>
      <c r="L72" s="1"/>
      <c r="M72" s="1"/>
      <c r="N72" s="1"/>
      <c r="O72" s="1"/>
      <c r="P72" s="1"/>
    </row>
    <row r="73" spans="1:16" ht="15" customHeight="1">
      <c r="A73" s="4"/>
      <c r="B73" s="4"/>
      <c r="C73" s="4"/>
      <c r="D73" s="8"/>
      <c r="E73" s="1"/>
      <c r="F73" s="1"/>
      <c r="G73" s="2"/>
      <c r="H73" s="4"/>
      <c r="I73" s="4"/>
      <c r="J73" s="4"/>
      <c r="K73" s="4"/>
      <c r="L73" s="1"/>
      <c r="M73" s="1"/>
      <c r="N73" s="1"/>
      <c r="O73" s="1"/>
      <c r="P73" s="1"/>
    </row>
    <row r="74" spans="1:16" ht="15" customHeight="1">
      <c r="A74" s="16"/>
      <c r="B74" s="3"/>
      <c r="C74" s="3"/>
      <c r="D74" s="8"/>
      <c r="E74" s="1"/>
      <c r="F74" s="1"/>
      <c r="G74" s="2"/>
      <c r="H74" s="4"/>
      <c r="I74" s="4"/>
      <c r="J74" s="4"/>
      <c r="K74" s="1"/>
      <c r="L74" s="8"/>
      <c r="M74" s="1"/>
      <c r="N74" s="1"/>
      <c r="O74" s="1"/>
      <c r="P74" s="1"/>
    </row>
    <row r="75" spans="1:16" ht="15" customHeight="1">
      <c r="A75" s="11"/>
      <c r="B75" s="3"/>
      <c r="C75" s="3"/>
      <c r="D75" s="8"/>
      <c r="E75" s="1"/>
      <c r="F75" s="1"/>
      <c r="G75" s="2"/>
      <c r="H75" s="4"/>
      <c r="I75" s="4"/>
      <c r="J75" s="4"/>
      <c r="K75" s="4"/>
      <c r="L75" s="1"/>
      <c r="M75" s="1"/>
      <c r="N75" s="1"/>
      <c r="O75" s="1"/>
      <c r="P75" s="1"/>
    </row>
    <row r="76" spans="1:16" ht="15" customHeight="1">
      <c r="A76" s="11"/>
      <c r="B76" s="3"/>
      <c r="C76" s="3"/>
      <c r="D76" s="8"/>
      <c r="E76" s="1"/>
      <c r="F76" s="1"/>
      <c r="G76" s="2"/>
      <c r="H76" s="4"/>
      <c r="I76" s="4"/>
      <c r="J76" s="4"/>
      <c r="K76" s="4"/>
      <c r="L76" s="1"/>
      <c r="M76" s="1"/>
      <c r="N76" s="1"/>
      <c r="O76" s="1"/>
      <c r="P76" s="1"/>
    </row>
    <row r="77" spans="1:16" ht="15" customHeight="1">
      <c r="A77" s="11"/>
      <c r="B77" s="3"/>
      <c r="C77" s="3"/>
      <c r="D77" s="8"/>
      <c r="E77" s="1"/>
      <c r="F77" s="1"/>
      <c r="G77" s="2"/>
      <c r="H77" s="4"/>
      <c r="I77" s="4"/>
      <c r="J77" s="4"/>
      <c r="K77" s="4"/>
      <c r="L77" s="1"/>
      <c r="M77" s="1"/>
      <c r="N77" s="1"/>
      <c r="O77" s="1"/>
      <c r="P77" s="1"/>
    </row>
    <row r="78" spans="1:16" ht="15" customHeight="1">
      <c r="A78" s="11"/>
      <c r="B78" s="3"/>
      <c r="C78" s="3"/>
      <c r="D78" s="8"/>
      <c r="E78" s="1"/>
      <c r="F78" s="1"/>
      <c r="G78" s="2"/>
      <c r="H78" s="4"/>
      <c r="I78" s="4"/>
      <c r="J78" s="4"/>
      <c r="K78" s="4"/>
      <c r="L78" s="1"/>
      <c r="M78" s="1"/>
      <c r="N78" s="1"/>
      <c r="O78" s="1"/>
      <c r="P78" s="1"/>
    </row>
    <row r="79" spans="1:16" ht="15" customHeight="1">
      <c r="A79" s="11"/>
      <c r="B79" s="3"/>
      <c r="C79" s="3"/>
      <c r="D79" s="8"/>
      <c r="E79" s="1"/>
      <c r="F79" s="1"/>
      <c r="G79" s="2"/>
      <c r="H79" s="4"/>
      <c r="I79" s="4"/>
      <c r="J79" s="4"/>
      <c r="K79" s="4"/>
      <c r="L79" s="1"/>
      <c r="M79" s="1"/>
      <c r="N79" s="1"/>
      <c r="O79" s="1"/>
      <c r="P79" s="1"/>
    </row>
    <row r="80" spans="1:16" ht="15" customHeight="1">
      <c r="A80" s="11"/>
      <c r="B80" s="3"/>
      <c r="C80" s="3"/>
      <c r="D80" s="8"/>
      <c r="E80" s="1"/>
      <c r="F80" s="1"/>
      <c r="G80" s="2"/>
      <c r="H80" s="4"/>
      <c r="I80" s="4"/>
      <c r="J80" s="4"/>
      <c r="K80" s="4"/>
      <c r="L80" s="1"/>
      <c r="M80" s="1"/>
      <c r="N80" s="1"/>
      <c r="O80" s="1"/>
      <c r="P80" s="1"/>
    </row>
    <row r="81" spans="1:16" ht="15" customHeight="1">
      <c r="A81" s="11"/>
      <c r="B81" s="3"/>
      <c r="C81" s="3"/>
      <c r="D81" s="8"/>
      <c r="E81" s="1"/>
      <c r="F81" s="1"/>
      <c r="G81" s="2"/>
      <c r="H81" s="4"/>
      <c r="I81" s="4"/>
      <c r="J81" s="4"/>
      <c r="K81" s="4"/>
      <c r="L81" s="1"/>
      <c r="M81" s="1"/>
      <c r="N81" s="1"/>
      <c r="O81" s="1"/>
      <c r="P81" s="1"/>
    </row>
    <row r="82" spans="1:16" ht="15" customHeight="1">
      <c r="A82" s="11"/>
      <c r="B82" s="3"/>
      <c r="C82" s="3"/>
      <c r="D82" s="8"/>
      <c r="E82" s="1"/>
      <c r="F82" s="1"/>
      <c r="G82" s="2"/>
      <c r="H82" s="4"/>
      <c r="I82" s="4"/>
      <c r="J82" s="4"/>
      <c r="K82" s="4"/>
      <c r="L82" s="1"/>
      <c r="M82" s="1"/>
      <c r="N82" s="1"/>
      <c r="O82" s="1"/>
      <c r="P82" s="1"/>
    </row>
    <row r="83" spans="1:16" ht="15" customHeight="1">
      <c r="A83" s="11"/>
      <c r="B83" s="3"/>
      <c r="C83" s="3"/>
      <c r="D83" s="8"/>
      <c r="E83" s="1"/>
      <c r="F83" s="1"/>
      <c r="G83" s="2"/>
      <c r="H83" s="4"/>
      <c r="I83" s="4"/>
      <c r="J83" s="4"/>
      <c r="K83" s="4"/>
      <c r="L83" s="1"/>
      <c r="M83" s="1"/>
      <c r="N83" s="1"/>
      <c r="O83" s="1"/>
      <c r="P83" s="1"/>
    </row>
    <row r="84" spans="1:16" ht="15" customHeight="1">
      <c r="A84" s="11"/>
      <c r="B84" s="3"/>
      <c r="C84" s="3"/>
      <c r="D84" s="8"/>
      <c r="E84" s="1"/>
      <c r="F84" s="1"/>
      <c r="G84" s="2"/>
      <c r="H84" s="4"/>
      <c r="I84" s="4"/>
      <c r="J84" s="4"/>
      <c r="K84" s="4"/>
      <c r="L84" s="1"/>
      <c r="M84" s="1"/>
      <c r="N84" s="1"/>
      <c r="O84" s="1"/>
      <c r="P84" s="1"/>
    </row>
    <row r="85" spans="1:16" ht="15" customHeight="1">
      <c r="A85" s="2"/>
      <c r="B85" s="1"/>
      <c r="C85" s="1"/>
      <c r="D85" s="8"/>
      <c r="E85" s="1"/>
      <c r="F85" s="1"/>
      <c r="G85" s="2"/>
      <c r="H85" s="4"/>
      <c r="I85" s="4"/>
      <c r="J85" s="4"/>
      <c r="K85" s="4"/>
      <c r="L85" s="1"/>
      <c r="M85" s="17"/>
      <c r="N85" s="4"/>
      <c r="O85" s="4"/>
      <c r="P85" s="4"/>
    </row>
    <row r="86" spans="1:16" ht="15" customHeight="1">
      <c r="A86" s="2"/>
      <c r="B86" s="1"/>
      <c r="C86" s="1"/>
      <c r="D86" s="8"/>
      <c r="E86" s="1"/>
      <c r="F86" s="1"/>
      <c r="G86" s="2"/>
      <c r="H86" s="4"/>
      <c r="I86" s="4"/>
      <c r="J86" s="4"/>
      <c r="K86" s="4"/>
      <c r="L86" s="1"/>
      <c r="M86" s="17"/>
      <c r="N86" s="4"/>
      <c r="O86" s="4"/>
      <c r="P86" s="4"/>
    </row>
    <row r="87" spans="1:16" ht="15" customHeight="1">
      <c r="A87" s="2"/>
      <c r="B87" s="1"/>
      <c r="C87" s="1"/>
      <c r="D87" s="8"/>
      <c r="E87" s="1"/>
      <c r="F87" s="1"/>
      <c r="G87" s="2"/>
      <c r="H87" s="4"/>
      <c r="I87" s="4"/>
      <c r="J87" s="4"/>
      <c r="K87" s="4"/>
      <c r="L87" s="1"/>
      <c r="M87" s="4"/>
      <c r="N87" s="4"/>
      <c r="O87" s="4"/>
      <c r="P87" s="4"/>
    </row>
    <row r="88" spans="1:16" ht="15" customHeight="1">
      <c r="A88" s="2"/>
      <c r="B88" s="1"/>
      <c r="C88" s="1"/>
      <c r="D88" s="8"/>
      <c r="E88" s="1"/>
      <c r="F88" s="1"/>
      <c r="G88" s="2"/>
      <c r="H88" s="4"/>
      <c r="I88" s="4"/>
      <c r="J88" s="4"/>
      <c r="K88" s="4"/>
      <c r="L88" s="1"/>
      <c r="M88" s="4"/>
      <c r="N88" s="4"/>
      <c r="O88" s="4"/>
      <c r="P88" s="4"/>
    </row>
    <row r="89" spans="1:16" ht="15" customHeight="1">
      <c r="A89" s="2"/>
      <c r="B89" s="1"/>
      <c r="C89" s="1"/>
      <c r="D89" s="8"/>
      <c r="E89" s="1"/>
      <c r="F89" s="1"/>
      <c r="G89" s="2"/>
      <c r="H89" s="4"/>
      <c r="I89" s="4"/>
      <c r="J89" s="4"/>
      <c r="K89" s="4"/>
      <c r="L89" s="1"/>
      <c r="M89" s="4"/>
      <c r="N89" s="4"/>
      <c r="O89" s="4"/>
      <c r="P89" s="4"/>
    </row>
    <row r="90" spans="1:16" ht="15" customHeight="1">
      <c r="A90" s="2"/>
      <c r="B90" s="1"/>
      <c r="C90" s="1"/>
      <c r="D90" s="8"/>
      <c r="E90" s="1"/>
      <c r="F90" s="1"/>
      <c r="G90" s="2"/>
      <c r="H90" s="4"/>
      <c r="I90" s="4"/>
      <c r="J90" s="4"/>
      <c r="K90" s="4"/>
      <c r="L90" s="1"/>
      <c r="M90" s="4"/>
      <c r="N90" s="4"/>
      <c r="O90" s="4"/>
      <c r="P90" s="4"/>
    </row>
    <row r="91" spans="1:16" ht="15" customHeight="1">
      <c r="A91" s="2"/>
      <c r="B91" s="1"/>
      <c r="C91" s="1"/>
      <c r="D91" s="8"/>
      <c r="E91" s="1"/>
      <c r="F91" s="1"/>
      <c r="G91" s="2"/>
      <c r="H91" s="4"/>
      <c r="I91" s="4"/>
      <c r="J91" s="4"/>
      <c r="K91" s="4"/>
      <c r="L91" s="1"/>
      <c r="M91" s="4"/>
      <c r="N91" s="4"/>
      <c r="O91" s="4"/>
      <c r="P91" s="4"/>
    </row>
    <row r="92" spans="1:16" ht="15" customHeight="1">
      <c r="A92" s="2"/>
      <c r="B92" s="1"/>
      <c r="C92" s="1"/>
      <c r="D92" s="8"/>
      <c r="E92" s="1"/>
      <c r="F92" s="1"/>
      <c r="G92" s="2"/>
      <c r="H92" s="4"/>
      <c r="I92" s="4"/>
      <c r="J92" s="4"/>
      <c r="K92" s="4"/>
      <c r="L92" s="1"/>
      <c r="M92" s="4"/>
      <c r="N92" s="4"/>
      <c r="O92" s="4"/>
      <c r="P92" s="4"/>
    </row>
    <row r="93" spans="1:16" ht="15" customHeight="1">
      <c r="A93" s="2"/>
      <c r="B93" s="1"/>
      <c r="C93" s="1"/>
      <c r="D93" s="8"/>
      <c r="E93" s="1"/>
      <c r="F93" s="1"/>
      <c r="G93" s="2"/>
      <c r="H93" s="4"/>
      <c r="I93" s="4"/>
      <c r="J93" s="4"/>
      <c r="K93" s="4"/>
      <c r="L93" s="1"/>
      <c r="M93" s="4"/>
      <c r="N93" s="4"/>
      <c r="O93" s="4"/>
      <c r="P93" s="4"/>
    </row>
    <row r="94" spans="1:16" ht="15" customHeight="1">
      <c r="A94" s="2"/>
      <c r="B94" s="1"/>
      <c r="C94" s="1"/>
      <c r="D94" s="8"/>
      <c r="E94" s="1"/>
      <c r="F94" s="1"/>
      <c r="G94" s="2"/>
      <c r="H94" s="4"/>
      <c r="I94" s="4"/>
      <c r="J94" s="4"/>
      <c r="K94" s="4"/>
      <c r="L94" s="1"/>
      <c r="M94" s="4"/>
      <c r="N94" s="4"/>
      <c r="O94" s="4"/>
      <c r="P94" s="4"/>
    </row>
    <row r="95" spans="1:16" ht="15" customHeight="1">
      <c r="A95" s="2"/>
      <c r="B95" s="1"/>
      <c r="C95" s="1"/>
      <c r="D95" s="8"/>
      <c r="E95" s="1"/>
      <c r="F95" s="1"/>
      <c r="G95" s="2"/>
      <c r="H95" s="4"/>
      <c r="I95" s="4"/>
      <c r="J95" s="4"/>
      <c r="K95" s="4"/>
      <c r="L95" s="1"/>
      <c r="M95" s="4"/>
      <c r="N95" s="4"/>
      <c r="O95" s="4"/>
      <c r="P95" s="4"/>
    </row>
    <row r="96" spans="1:16" ht="15" customHeight="1">
      <c r="A96" s="2"/>
      <c r="B96" s="1"/>
      <c r="C96" s="1"/>
      <c r="D96" s="8"/>
      <c r="E96" s="1"/>
      <c r="F96" s="1"/>
      <c r="G96" s="2"/>
      <c r="H96" s="4"/>
      <c r="I96" s="4"/>
      <c r="J96" s="4"/>
      <c r="K96" s="4"/>
      <c r="L96" s="1"/>
      <c r="M96" s="4"/>
      <c r="N96" s="4"/>
      <c r="O96" s="4"/>
      <c r="P96" s="4"/>
    </row>
    <row r="97" spans="1:16" ht="15" customHeight="1">
      <c r="A97" s="2"/>
      <c r="B97" s="1"/>
      <c r="C97" s="1"/>
      <c r="D97" s="8"/>
      <c r="E97" s="1"/>
      <c r="F97" s="1"/>
      <c r="G97" s="2"/>
      <c r="H97" s="4"/>
      <c r="I97" s="4"/>
      <c r="J97" s="4"/>
      <c r="K97" s="4"/>
      <c r="L97" s="1"/>
      <c r="M97" s="4"/>
      <c r="N97" s="4"/>
      <c r="O97" s="4"/>
      <c r="P97" s="4"/>
    </row>
  </sheetData>
  <mergeCells count="1">
    <mergeCell ref="P1:Q1"/>
  </mergeCells>
  <printOptions horizontalCentered="1"/>
  <pageMargins left="0.5" right="0.5" top="0.5" bottom="0.6" header="0.3" footer="0.4"/>
  <pageSetup fitToHeight="1" fitToWidth="1" horizontalDpi="600" verticalDpi="600" orientation="landscape" scale="59" r:id="rId2"/>
  <headerFooter alignWithMargins="0">
    <oddHeader xml:space="preserve">&amp;CSpreadsheet by Agilent Technologies&amp;R </oddHeader>
    <oddFooter>&amp;L&amp;F tab &amp;A page &amp;P of &amp;N&amp;RPrinted &amp;T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7"/>
  <sheetViews>
    <sheetView showGridLines="0" showOutlineSymbols="0" zoomScale="70" zoomScaleNormal="70" workbookViewId="0" topLeftCell="A1">
      <selection activeCell="A3" sqref="A3"/>
    </sheetView>
  </sheetViews>
  <sheetFormatPr defaultColWidth="9.140625" defaultRowHeight="12.75"/>
  <cols>
    <col min="1" max="1" width="10.7109375" style="5" customWidth="1"/>
    <col min="2" max="3" width="10.8515625" style="5" customWidth="1"/>
    <col min="4" max="4" width="9.7109375" style="5" customWidth="1"/>
    <col min="5" max="5" width="10.7109375" style="5" customWidth="1"/>
    <col min="6" max="6" width="6.57421875" style="5" customWidth="1"/>
    <col min="7" max="8" width="6.7109375" style="5" customWidth="1"/>
    <col min="9" max="9" width="7.28125" style="5" customWidth="1"/>
    <col min="10" max="10" width="7.7109375" style="5" customWidth="1"/>
    <col min="11" max="11" width="7.28125" style="5" customWidth="1"/>
    <col min="12" max="12" width="6.57421875" style="5" customWidth="1"/>
    <col min="13" max="14" width="6.28125" style="5" customWidth="1"/>
    <col min="15" max="17" width="7.7109375" style="5" customWidth="1"/>
    <col min="18" max="18" width="8.421875" style="56" customWidth="1"/>
    <col min="19" max="19" width="6.57421875" style="5" customWidth="1"/>
    <col min="20" max="20" width="7.28125" style="7" customWidth="1"/>
    <col min="21" max="21" width="7.421875" style="5" customWidth="1"/>
    <col min="22" max="22" width="7.7109375" style="5" customWidth="1"/>
    <col min="23" max="23" width="11.140625" style="10" customWidth="1"/>
    <col min="24" max="24" width="8.8515625" style="10" customWidth="1"/>
    <col min="25" max="25" width="8.140625" style="5" customWidth="1"/>
    <col min="26" max="26" width="7.57421875" style="5" customWidth="1"/>
    <col min="27" max="27" width="10.00390625" style="166" customWidth="1"/>
    <col min="28" max="28" width="6.00390625" style="5" customWidth="1"/>
    <col min="29" max="29" width="6.7109375" style="5" customWidth="1"/>
    <col min="30" max="30" width="7.140625" style="5" customWidth="1"/>
    <col min="31" max="32" width="10.00390625" style="5" customWidth="1"/>
    <col min="33" max="16384" width="11.140625" style="5" customWidth="1"/>
  </cols>
  <sheetData>
    <row r="1" spans="1:32" s="133" customFormat="1" ht="15">
      <c r="A1" s="130" t="s">
        <v>121</v>
      </c>
      <c r="B1" s="113"/>
      <c r="C1" s="113"/>
      <c r="D1" s="113"/>
      <c r="E1" s="117"/>
      <c r="F1" s="117"/>
      <c r="G1" s="117"/>
      <c r="H1" s="117"/>
      <c r="I1" s="117"/>
      <c r="J1" s="117"/>
      <c r="K1" s="117"/>
      <c r="L1" s="131" t="s">
        <v>76</v>
      </c>
      <c r="M1" s="113" t="s">
        <v>186</v>
      </c>
      <c r="N1" s="117"/>
      <c r="O1" s="138" t="s">
        <v>185</v>
      </c>
      <c r="P1" s="260">
        <f>Notes!D17</f>
        <v>36714</v>
      </c>
      <c r="Q1" s="261"/>
      <c r="R1" s="224" t="s">
        <v>1</v>
      </c>
      <c r="S1" s="230"/>
      <c r="T1" s="234" t="s">
        <v>145</v>
      </c>
      <c r="U1" s="230" t="str">
        <f>Notes!A1</f>
        <v>5pmd047.xls</v>
      </c>
      <c r="V1" s="223"/>
      <c r="W1" s="231">
        <f>Notes!D1</f>
        <v>36714</v>
      </c>
      <c r="Z1" s="51"/>
      <c r="AA1" s="164"/>
      <c r="AB1" s="226"/>
      <c r="AC1" s="51"/>
      <c r="AD1" s="51"/>
      <c r="AE1" s="51"/>
      <c r="AF1" s="51"/>
    </row>
    <row r="2" spans="1:32" ht="15.75">
      <c r="A2" s="62" t="s">
        <v>2</v>
      </c>
      <c r="B2" s="121" t="s">
        <v>3</v>
      </c>
      <c r="C2" s="73"/>
      <c r="D2" s="65"/>
      <c r="E2" s="73"/>
      <c r="F2" s="73"/>
      <c r="G2" s="62"/>
      <c r="H2" s="61"/>
      <c r="I2" s="65" t="s">
        <v>104</v>
      </c>
      <c r="J2" s="137">
        <v>0.55</v>
      </c>
      <c r="K2" s="61" t="s">
        <v>105</v>
      </c>
      <c r="L2" s="61"/>
      <c r="M2" s="73"/>
      <c r="N2" s="61"/>
      <c r="O2" s="62" t="s">
        <v>110</v>
      </c>
      <c r="P2" s="146">
        <f>1000000/$P$6</f>
        <v>288</v>
      </c>
      <c r="Q2" s="61" t="s">
        <v>99</v>
      </c>
      <c r="R2" s="250" t="str">
        <f>Notes!G17</f>
        <v>2.3.5</v>
      </c>
      <c r="S2" s="46"/>
      <c r="T2" s="235"/>
      <c r="U2" s="46"/>
      <c r="V2" s="232" t="s">
        <v>1</v>
      </c>
      <c r="W2" s="233" t="str">
        <f>Notes!F1</f>
        <v>0.4.7</v>
      </c>
      <c r="X2" s="6"/>
      <c r="Y2" s="1"/>
      <c r="Z2" s="1"/>
      <c r="AA2" s="165"/>
      <c r="AB2" s="66"/>
      <c r="AC2" s="1"/>
      <c r="AD2" s="1"/>
      <c r="AE2" s="1"/>
      <c r="AF2" s="1"/>
    </row>
    <row r="3" spans="1:32" ht="15" customHeight="1">
      <c r="A3" s="73"/>
      <c r="B3" s="73"/>
      <c r="C3" s="73"/>
      <c r="D3" s="65" t="s">
        <v>5</v>
      </c>
      <c r="E3" s="152">
        <v>2000</v>
      </c>
      <c r="F3" s="61"/>
      <c r="G3" s="61"/>
      <c r="H3" s="73"/>
      <c r="I3" s="62" t="s">
        <v>107</v>
      </c>
      <c r="J3" s="120">
        <v>0.2</v>
      </c>
      <c r="K3" s="73" t="s">
        <v>105</v>
      </c>
      <c r="L3" s="61"/>
      <c r="M3" s="73"/>
      <c r="N3" s="61"/>
      <c r="O3" s="62" t="s">
        <v>4</v>
      </c>
      <c r="P3" s="49">
        <f>IF($B$4&gt;1000,$E$6/1.5,$E$6/3.5)</f>
        <v>1</v>
      </c>
      <c r="Q3" s="61"/>
      <c r="R3" s="81"/>
      <c r="S3" s="85"/>
      <c r="T3" s="82"/>
      <c r="U3" s="67"/>
      <c r="V3" s="73"/>
      <c r="W3" s="66"/>
      <c r="X3" s="6"/>
      <c r="Y3" s="1"/>
      <c r="Z3" s="1"/>
      <c r="AA3" s="165"/>
      <c r="AB3" s="84"/>
      <c r="AC3" s="1"/>
      <c r="AD3" s="1"/>
      <c r="AE3" s="1"/>
      <c r="AF3" s="1"/>
    </row>
    <row r="4" spans="1:32" ht="15" customHeight="1">
      <c r="A4" s="62" t="s">
        <v>55</v>
      </c>
      <c r="B4" s="86">
        <v>800</v>
      </c>
      <c r="C4" s="73"/>
      <c r="D4" s="65" t="s">
        <v>9</v>
      </c>
      <c r="E4" s="83">
        <v>0.11</v>
      </c>
      <c r="F4" s="61"/>
      <c r="G4" s="61"/>
      <c r="H4" s="73"/>
      <c r="I4" s="62" t="s">
        <v>108</v>
      </c>
      <c r="J4" s="219">
        <v>0.02</v>
      </c>
      <c r="K4" s="61" t="s">
        <v>105</v>
      </c>
      <c r="L4" s="61"/>
      <c r="M4" s="61"/>
      <c r="N4" s="61"/>
      <c r="O4" s="62" t="s">
        <v>6</v>
      </c>
      <c r="P4" s="146">
        <f>B7*1.518</f>
        <v>151.8</v>
      </c>
      <c r="Q4" s="73" t="s">
        <v>99</v>
      </c>
      <c r="R4" s="87" t="s">
        <v>7</v>
      </c>
      <c r="S4" s="85"/>
      <c r="T4" s="82"/>
      <c r="U4" s="67"/>
      <c r="V4" s="73"/>
      <c r="W4" s="66"/>
      <c r="X4" s="6"/>
      <c r="Y4" s="1"/>
      <c r="Z4" s="1"/>
      <c r="AA4" s="165"/>
      <c r="AB4" s="85"/>
      <c r="AC4" s="1"/>
      <c r="AD4" s="1"/>
      <c r="AE4" s="1"/>
      <c r="AF4" s="1"/>
    </row>
    <row r="5" spans="1:32" ht="15" customHeight="1">
      <c r="A5" s="62" t="s">
        <v>8</v>
      </c>
      <c r="B5" s="88">
        <v>0.5</v>
      </c>
      <c r="C5" s="73"/>
      <c r="D5" s="65" t="s">
        <v>56</v>
      </c>
      <c r="E5" s="83">
        <v>1320</v>
      </c>
      <c r="F5" s="61"/>
      <c r="G5" s="61"/>
      <c r="H5" s="73"/>
      <c r="I5" s="62" t="s">
        <v>12</v>
      </c>
      <c r="J5" s="89">
        <v>480</v>
      </c>
      <c r="K5" s="61" t="s">
        <v>103</v>
      </c>
      <c r="L5" s="73"/>
      <c r="M5" s="67"/>
      <c r="N5" s="61"/>
      <c r="O5" s="62" t="s">
        <v>10</v>
      </c>
      <c r="P5" s="97">
        <v>0.7</v>
      </c>
      <c r="Q5" s="61"/>
      <c r="R5" s="87" t="s">
        <v>11</v>
      </c>
      <c r="S5" s="81"/>
      <c r="T5" s="82"/>
      <c r="U5" s="67"/>
      <c r="V5" s="73"/>
      <c r="W5" s="66"/>
      <c r="X5" s="6"/>
      <c r="Y5" s="1"/>
      <c r="Z5" s="1"/>
      <c r="AA5" s="165"/>
      <c r="AB5" s="85"/>
      <c r="AC5" s="1"/>
      <c r="AD5" s="1"/>
      <c r="AE5" s="1"/>
      <c r="AF5" s="1"/>
    </row>
    <row r="6" spans="1:32" ht="15" customHeight="1">
      <c r="A6" s="62" t="s">
        <v>74</v>
      </c>
      <c r="B6" s="83">
        <v>7</v>
      </c>
      <c r="C6" s="73" t="s">
        <v>63</v>
      </c>
      <c r="D6" s="65" t="s">
        <v>95</v>
      </c>
      <c r="E6" s="83">
        <v>3.5</v>
      </c>
      <c r="F6" s="61" t="str">
        <f>"dB/km at "&amp;IF(B4&lt;1000,850,1300)&amp;" nm"</f>
        <v>dB/km at 850 nm</v>
      </c>
      <c r="G6" s="61"/>
      <c r="H6" s="73"/>
      <c r="I6" s="62" t="s">
        <v>15</v>
      </c>
      <c r="J6" s="88">
        <v>7.037</v>
      </c>
      <c r="K6" s="61"/>
      <c r="L6" s="61"/>
      <c r="M6" s="67"/>
      <c r="N6" s="61"/>
      <c r="O6" s="65" t="s">
        <v>13</v>
      </c>
      <c r="P6" s="90">
        <f>(P7)</f>
        <v>3472.222222222222</v>
      </c>
      <c r="Q6" s="66"/>
      <c r="R6" s="85"/>
      <c r="S6" s="66" t="s">
        <v>47</v>
      </c>
      <c r="T6" s="52">
        <f>$E$9-$E$10</f>
        <v>6.5</v>
      </c>
      <c r="U6" s="246" t="s">
        <v>63</v>
      </c>
      <c r="V6" s="73"/>
      <c r="W6" s="66"/>
      <c r="Y6" s="175" t="s">
        <v>127</v>
      </c>
      <c r="Z6" s="176">
        <f>$Z$8*$P$2/(SQRT(8)*$T$9)</f>
        <v>1.983079893207306</v>
      </c>
      <c r="AA6" s="177" t="s">
        <v>77</v>
      </c>
      <c r="AB6" s="61"/>
      <c r="AC6" s="1"/>
      <c r="AD6" s="1"/>
      <c r="AE6" s="1"/>
      <c r="AF6" s="1"/>
    </row>
    <row r="7" spans="1:32" ht="15" customHeight="1">
      <c r="A7" s="62" t="s">
        <v>14</v>
      </c>
      <c r="B7" s="83">
        <v>100</v>
      </c>
      <c r="C7" s="73" t="s">
        <v>99</v>
      </c>
      <c r="D7" s="62" t="s">
        <v>96</v>
      </c>
      <c r="E7" s="155">
        <v>3125</v>
      </c>
      <c r="F7" s="73" t="s">
        <v>101</v>
      </c>
      <c r="G7" s="67"/>
      <c r="H7" s="67"/>
      <c r="I7" s="65" t="s">
        <v>100</v>
      </c>
      <c r="J7" s="154">
        <f>2.5*10^5/$E$7</f>
        <v>80</v>
      </c>
      <c r="K7" s="67" t="s">
        <v>99</v>
      </c>
      <c r="L7" s="61"/>
      <c r="M7" s="67"/>
      <c r="N7" s="61"/>
      <c r="O7" s="65" t="s">
        <v>16</v>
      </c>
      <c r="P7" s="91">
        <f>1/((1/$E$7)-$J$8*10^-6)</f>
        <v>3472.222222222222</v>
      </c>
      <c r="Q7" s="66"/>
      <c r="R7" s="85"/>
      <c r="S7" s="93" t="s">
        <v>33</v>
      </c>
      <c r="T7" s="118">
        <f>AE36</f>
        <v>0</v>
      </c>
      <c r="U7" s="94" t="str">
        <f>"dB at target "&amp;J2&amp;" km"</f>
        <v>dB at target 0.55 km</v>
      </c>
      <c r="V7" s="73"/>
      <c r="W7" s="122"/>
      <c r="Y7" s="175" t="s">
        <v>128</v>
      </c>
      <c r="Z7" s="178">
        <f>IF(ABS($Z$6)&lt;10,SIGN($Z$6)*ERF(ABS($Z$6)),SIGN($Z$6))</f>
        <v>0.9949605071576255</v>
      </c>
      <c r="AA7" s="177" t="s">
        <v>77</v>
      </c>
      <c r="AB7" s="61"/>
      <c r="AC7" s="1"/>
      <c r="AD7" s="1"/>
      <c r="AE7" s="1"/>
      <c r="AF7" s="1"/>
    </row>
    <row r="8" spans="1:32" ht="15" customHeight="1">
      <c r="A8" s="62" t="s">
        <v>86</v>
      </c>
      <c r="B8" s="83">
        <v>-120</v>
      </c>
      <c r="C8" s="105" t="s">
        <v>85</v>
      </c>
      <c r="D8" s="65" t="s">
        <v>97</v>
      </c>
      <c r="E8" s="152">
        <v>2500</v>
      </c>
      <c r="F8" s="73" t="s">
        <v>102</v>
      </c>
      <c r="G8" s="67"/>
      <c r="H8" s="61"/>
      <c r="I8" s="65" t="s">
        <v>19</v>
      </c>
      <c r="J8" s="83">
        <v>32</v>
      </c>
      <c r="K8" s="61"/>
      <c r="L8" s="61"/>
      <c r="M8" s="61"/>
      <c r="N8" s="61"/>
      <c r="O8" s="62" t="s">
        <v>17</v>
      </c>
      <c r="P8" s="63">
        <f>(10^-6)*$J$7*$P$7</f>
        <v>0.27777777777777773</v>
      </c>
      <c r="Q8" s="66"/>
      <c r="R8" s="85"/>
      <c r="S8" s="65" t="s">
        <v>112</v>
      </c>
      <c r="T8" s="49">
        <f>$P$3*((1/(0.00094*$B$4)^4)+1.05)</f>
        <v>4.1770054461551895</v>
      </c>
      <c r="U8" s="61" t="str">
        <f>"dB/km at "&amp;B4&amp;" nm"</f>
        <v>dB/km at 800 nm</v>
      </c>
      <c r="V8" s="73"/>
      <c r="W8" s="66"/>
      <c r="Y8" s="175" t="s">
        <v>129</v>
      </c>
      <c r="Z8" s="179">
        <v>2.563</v>
      </c>
      <c r="AA8" s="177" t="s">
        <v>77</v>
      </c>
      <c r="AB8" s="61"/>
      <c r="AC8" s="1"/>
      <c r="AD8" s="1"/>
      <c r="AE8" s="1"/>
      <c r="AF8" s="1"/>
    </row>
    <row r="9" spans="1:32" ht="15" customHeight="1">
      <c r="A9" s="62" t="s">
        <v>18</v>
      </c>
      <c r="B9" s="83">
        <v>0.8</v>
      </c>
      <c r="C9" s="73"/>
      <c r="D9" s="65" t="s">
        <v>67</v>
      </c>
      <c r="E9" s="83">
        <v>8</v>
      </c>
      <c r="F9" s="73"/>
      <c r="G9" s="73"/>
      <c r="H9" s="61"/>
      <c r="I9" s="65" t="s">
        <v>22</v>
      </c>
      <c r="J9" s="129">
        <v>-5.5</v>
      </c>
      <c r="K9" s="67"/>
      <c r="L9" s="61"/>
      <c r="M9" s="67"/>
      <c r="N9" s="61"/>
      <c r="O9" s="62" t="s">
        <v>20</v>
      </c>
      <c r="P9" s="92">
        <f>(P8)</f>
        <v>0.27777777777777773</v>
      </c>
      <c r="Q9" s="66"/>
      <c r="R9" s="85"/>
      <c r="S9" s="93" t="s">
        <v>73</v>
      </c>
      <c r="T9" s="145">
        <f>T10*1000/$E$8</f>
        <v>131.6</v>
      </c>
      <c r="U9" s="94" t="s">
        <v>99</v>
      </c>
      <c r="V9" s="32"/>
      <c r="W9" s="41"/>
      <c r="Y9" s="180" t="s">
        <v>98</v>
      </c>
      <c r="Z9" s="202">
        <f>ERF(MAX(MIN($Z$8*$P$2*($P$9+1)/(SQRT(8)*$T$9),10),-10))+ERF(MAX(MIN($Z$8*$P$2*(1-$P$9)/(SQRT(8)*$T$9),10),-10))-1</f>
        <v>0.9568419970800157</v>
      </c>
      <c r="AA9" s="181" t="s">
        <v>77</v>
      </c>
      <c r="AB9" s="61"/>
      <c r="AC9" s="1"/>
      <c r="AD9" s="1"/>
      <c r="AE9" s="1"/>
      <c r="AF9" s="1"/>
    </row>
    <row r="10" spans="1:32" ht="15" customHeight="1">
      <c r="A10" s="62" t="s">
        <v>21</v>
      </c>
      <c r="B10" s="83">
        <v>0.3</v>
      </c>
      <c r="C10" s="73"/>
      <c r="D10" s="65" t="s">
        <v>68</v>
      </c>
      <c r="E10" s="83">
        <v>1.5</v>
      </c>
      <c r="F10" s="73"/>
      <c r="G10" s="62"/>
      <c r="H10" s="61"/>
      <c r="I10" s="62" t="s">
        <v>26</v>
      </c>
      <c r="J10" s="119">
        <v>7</v>
      </c>
      <c r="K10" s="61"/>
      <c r="L10" s="61"/>
      <c r="M10" s="67"/>
      <c r="N10" s="61"/>
      <c r="O10" s="62" t="s">
        <v>23</v>
      </c>
      <c r="P10" s="49">
        <f>S35-$T$6</f>
        <v>-0.10999349365060151</v>
      </c>
      <c r="Q10" s="67" t="s">
        <v>24</v>
      </c>
      <c r="R10" s="85"/>
      <c r="S10" s="211" t="s">
        <v>171</v>
      </c>
      <c r="T10" s="247">
        <v>329</v>
      </c>
      <c r="U10" s="248" t="s">
        <v>103</v>
      </c>
      <c r="V10" s="73"/>
      <c r="W10" s="106" t="s">
        <v>25</v>
      </c>
      <c r="X10" s="66"/>
      <c r="Y10" s="61"/>
      <c r="Z10" s="73"/>
      <c r="AA10" s="158"/>
      <c r="AB10" s="61"/>
      <c r="AC10" s="1"/>
      <c r="AD10" s="1"/>
      <c r="AE10" s="1"/>
      <c r="AF10" s="1"/>
    </row>
    <row r="11" spans="1:32" ht="15" customHeight="1">
      <c r="A11" s="32"/>
      <c r="B11" s="32"/>
      <c r="C11" s="32"/>
      <c r="D11" s="33"/>
      <c r="E11" s="33"/>
      <c r="F11" s="33"/>
      <c r="G11" s="33"/>
      <c r="H11" s="33"/>
      <c r="I11" s="34" t="s">
        <v>75</v>
      </c>
      <c r="J11" s="35">
        <v>0</v>
      </c>
      <c r="K11" s="36" t="s">
        <v>66</v>
      </c>
      <c r="L11" s="37"/>
      <c r="M11" s="37"/>
      <c r="N11" s="33"/>
      <c r="O11" s="38" t="s">
        <v>62</v>
      </c>
      <c r="P11" s="39">
        <f>10*LOG10(1/SQRT(1-($J$6*J11)^2))</f>
        <v>0</v>
      </c>
      <c r="Q11" s="36" t="s">
        <v>63</v>
      </c>
      <c r="R11" s="57"/>
      <c r="S11" s="38" t="s">
        <v>61</v>
      </c>
      <c r="T11" s="40">
        <f>10*LOG10(1/SQRT(1-($J$6*$J$11/$Z$9)^2))</f>
        <v>0</v>
      </c>
      <c r="U11" s="249" t="s">
        <v>63</v>
      </c>
      <c r="V11" s="73"/>
      <c r="W11" s="95" t="s">
        <v>27</v>
      </c>
      <c r="X11" s="6" t="s">
        <v>28</v>
      </c>
      <c r="Y11" s="12" t="s">
        <v>34</v>
      </c>
      <c r="Z11" s="12" t="s">
        <v>29</v>
      </c>
      <c r="AA11" s="159" t="s">
        <v>78</v>
      </c>
      <c r="AB11" s="61"/>
      <c r="AC11" s="1"/>
      <c r="AD11" s="1"/>
      <c r="AE11" s="1"/>
      <c r="AF11" s="1"/>
    </row>
    <row r="12" spans="1:35" ht="15" customHeight="1">
      <c r="A12" s="123" t="s">
        <v>88</v>
      </c>
      <c r="B12" s="66" t="s">
        <v>57</v>
      </c>
      <c r="C12" s="66" t="s">
        <v>36</v>
      </c>
      <c r="D12" s="72" t="s">
        <v>80</v>
      </c>
      <c r="E12" s="72" t="s">
        <v>81</v>
      </c>
      <c r="F12" s="73" t="s">
        <v>82</v>
      </c>
      <c r="G12" s="73" t="s">
        <v>83</v>
      </c>
      <c r="H12" s="64" t="s">
        <v>37</v>
      </c>
      <c r="I12" s="65" t="s">
        <v>38</v>
      </c>
      <c r="J12" s="66" t="s">
        <v>39</v>
      </c>
      <c r="K12" s="67" t="s">
        <v>40</v>
      </c>
      <c r="L12" s="65" t="s">
        <v>41</v>
      </c>
      <c r="M12" s="65" t="s">
        <v>42</v>
      </c>
      <c r="N12" s="65" t="s">
        <v>43</v>
      </c>
      <c r="O12" s="68" t="s">
        <v>79</v>
      </c>
      <c r="P12" s="65" t="s">
        <v>44</v>
      </c>
      <c r="Q12" s="65" t="s">
        <v>45</v>
      </c>
      <c r="R12" s="69" t="s">
        <v>46</v>
      </c>
      <c r="S12" s="70" t="s">
        <v>48</v>
      </c>
      <c r="T12" s="68" t="s">
        <v>49</v>
      </c>
      <c r="U12" s="67" t="s">
        <v>50</v>
      </c>
      <c r="V12" s="71" t="s">
        <v>33</v>
      </c>
      <c r="W12" s="243" t="s">
        <v>32</v>
      </c>
      <c r="X12" s="6" t="s">
        <v>33</v>
      </c>
      <c r="Y12" s="10" t="s">
        <v>89</v>
      </c>
      <c r="Z12" s="6" t="s">
        <v>35</v>
      </c>
      <c r="AA12" s="159" t="s">
        <v>65</v>
      </c>
      <c r="AB12" s="66" t="s">
        <v>47</v>
      </c>
      <c r="AC12" s="165" t="s">
        <v>136</v>
      </c>
      <c r="AD12" s="1"/>
      <c r="AE12" s="153" t="s">
        <v>113</v>
      </c>
      <c r="AF12" s="182" t="s">
        <v>130</v>
      </c>
      <c r="AG12" s="189" t="s">
        <v>131</v>
      </c>
      <c r="AH12" s="166" t="s">
        <v>132</v>
      </c>
      <c r="AI12" s="166" t="s">
        <v>133</v>
      </c>
    </row>
    <row r="13" spans="1:35" s="33" customFormat="1" ht="15" customHeight="1">
      <c r="A13" s="124" t="s">
        <v>87</v>
      </c>
      <c r="B13" s="42" t="s">
        <v>58</v>
      </c>
      <c r="C13" s="42" t="s">
        <v>58</v>
      </c>
      <c r="D13" s="43" t="s">
        <v>84</v>
      </c>
      <c r="E13" s="43" t="s">
        <v>84</v>
      </c>
      <c r="F13" s="32" t="s">
        <v>109</v>
      </c>
      <c r="G13" s="32" t="s">
        <v>109</v>
      </c>
      <c r="H13" s="44" t="s">
        <v>30</v>
      </c>
      <c r="I13" s="45" t="s">
        <v>30</v>
      </c>
      <c r="J13" s="32"/>
      <c r="K13" s="46"/>
      <c r="L13" s="45" t="s">
        <v>30</v>
      </c>
      <c r="M13" s="45"/>
      <c r="N13" s="45" t="s">
        <v>30</v>
      </c>
      <c r="O13" s="45" t="s">
        <v>30</v>
      </c>
      <c r="P13" s="45" t="s">
        <v>30</v>
      </c>
      <c r="Q13" s="45" t="s">
        <v>30</v>
      </c>
      <c r="R13" s="58" t="s">
        <v>30</v>
      </c>
      <c r="S13" s="46" t="s">
        <v>30</v>
      </c>
      <c r="T13" s="47" t="s">
        <v>30</v>
      </c>
      <c r="U13" s="47" t="s">
        <v>31</v>
      </c>
      <c r="V13" s="48" t="s">
        <v>30</v>
      </c>
      <c r="W13" s="96" t="s">
        <v>51</v>
      </c>
      <c r="X13" s="42" t="s">
        <v>52</v>
      </c>
      <c r="Y13" s="42" t="s">
        <v>30</v>
      </c>
      <c r="Z13" s="42" t="s">
        <v>53</v>
      </c>
      <c r="AA13" s="160" t="s">
        <v>64</v>
      </c>
      <c r="AB13" s="42" t="s">
        <v>30</v>
      </c>
      <c r="AC13" s="139" t="s">
        <v>135</v>
      </c>
      <c r="AD13" s="140" t="s">
        <v>106</v>
      </c>
      <c r="AE13" s="140" t="s">
        <v>134</v>
      </c>
      <c r="AF13" s="183" t="s">
        <v>64</v>
      </c>
      <c r="AG13" s="190" t="s">
        <v>64</v>
      </c>
      <c r="AH13" s="190" t="s">
        <v>64</v>
      </c>
      <c r="AI13" s="190" t="s">
        <v>64</v>
      </c>
    </row>
    <row r="14" spans="1:35" s="117" customFormat="1" ht="15" customHeight="1">
      <c r="A14" s="125">
        <v>0.002</v>
      </c>
      <c r="B14" s="110">
        <f aca="true" t="shared" si="0" ref="B14:B35">0.25*$E$4*$B$4*(1-($E$5/$B$4)^4)</f>
        <v>-141.06413749999996</v>
      </c>
      <c r="C14" s="132">
        <f aca="true" t="shared" si="1" ref="C14:C35">0.7*$E$4*$B$5</f>
        <v>0.0385</v>
      </c>
      <c r="D14" s="111">
        <f aca="true" t="shared" si="2" ref="D14:D35">(0.187/(A14*$B$5))*(10^6/SQRT(B14^2+C14^2))</f>
        <v>1325638.0845581098</v>
      </c>
      <c r="E14" s="111">
        <f aca="true" t="shared" si="3" ref="E14:E35">$E$3/A14</f>
        <v>1000000</v>
      </c>
      <c r="F14" s="147">
        <f>SQRT(($J$5/D14)^2+($J$5/E14)^2+$P$4^2)</f>
        <v>151.80000000119077</v>
      </c>
      <c r="G14" s="147">
        <f aca="true" t="shared" si="4" ref="G14:G35">SQRT(F14^2+$T$9^2)</f>
        <v>200.90246389818498</v>
      </c>
      <c r="H14" s="112">
        <f aca="true" t="shared" si="5" ref="H14:H35">-10*LOG10(2*AG14-1)</f>
        <v>0.6167995283503993</v>
      </c>
      <c r="I14" s="110">
        <f aca="true" t="shared" si="6" ref="I14:I35">A14*$P$3*((1/(0.00094*$B$4)^4)+1.05)</f>
        <v>0.008354010892310379</v>
      </c>
      <c r="J14" s="113">
        <f aca="true" t="shared" si="7" ref="J14:J35">(10^-6)*3.14*$E$7*B14*A14*$B$5</f>
        <v>-0.0013841918492187495</v>
      </c>
      <c r="K14" s="110">
        <f aca="true" t="shared" si="8" ref="K14:K35">($B$9/SQRT(2))*(1-EXP(-1*J14^2))</f>
        <v>1.0838449246341967E-06</v>
      </c>
      <c r="L14" s="110">
        <f aca="true" t="shared" si="9" ref="L14:L35">10*LOG10(1/SQRT(1-($J$6*K14)^2))</f>
        <v>1.2631725484197806E-10</v>
      </c>
      <c r="M14" s="110"/>
      <c r="N14" s="110"/>
      <c r="O14" s="110">
        <f aca="true" t="shared" si="10" ref="O14:O35">10*LOG10(1/SQRT(1-($J$6*$J$6*((($J$11/AA14)^2)+M14+(K14*K14)))))-$T$11-L14-N14</f>
        <v>0</v>
      </c>
      <c r="P14" s="110">
        <f aca="true" t="shared" si="11" ref="P14:P35">Y14-Z14</f>
        <v>0</v>
      </c>
      <c r="Q14" s="110">
        <f aca="true" t="shared" si="12" ref="Q14:Q35">$B$10</f>
        <v>0.3</v>
      </c>
      <c r="R14" s="212">
        <f aca="true" t="shared" si="13" ref="R14:R35">-10*LOG10(AA14)-H14</f>
        <v>0.37129019415781217</v>
      </c>
      <c r="S14" s="157">
        <f aca="true" t="shared" si="14" ref="S14:S35">H14+I14+L14+N14+O14+P14+Q14+R14</f>
        <v>1.296443733526839</v>
      </c>
      <c r="T14" s="110">
        <f aca="true" t="shared" si="15" ref="T14:T35">$E$10+I14</f>
        <v>1.5083540108923104</v>
      </c>
      <c r="U14" s="110">
        <f aca="true" t="shared" si="16" ref="U14:U35">S14-I14</f>
        <v>1.2880897226345287</v>
      </c>
      <c r="V14" s="115">
        <f aca="true" t="shared" si="17" ref="V14:V35">$T$6-S14</f>
        <v>5.203556266473161</v>
      </c>
      <c r="W14" s="116">
        <f aca="true" t="shared" si="18" ref="W14:W35">$J$9-T14-R14-P14</f>
        <v>-7.379644205050122</v>
      </c>
      <c r="X14" s="114"/>
      <c r="Y14" s="110">
        <f aca="true" t="shared" si="19" ref="Y14:Y35">10*LOG10((1+10^(-($B$6/10)))/(1-10^(-($B$6/10))))</f>
        <v>1.7566264497877127</v>
      </c>
      <c r="Z14" s="110">
        <f aca="true" t="shared" si="20" ref="Z14:Z35">10*LOG10((1+10^(-($J$10/10)))/(1-10^(-($J$10/10))))</f>
        <v>1.7566264497877127</v>
      </c>
      <c r="AA14" s="184">
        <f>ERF(AH14)+ERF(AI14)-1</f>
        <v>0.7965096242259733</v>
      </c>
      <c r="AB14" s="114">
        <f aca="true" t="shared" si="21" ref="AB14:AB35">$E$9-$E$10</f>
        <v>6.5</v>
      </c>
      <c r="AC14" s="141"/>
      <c r="AD14" s="142"/>
      <c r="AE14" s="113"/>
      <c r="AF14" s="187">
        <f aca="true" t="shared" si="22" ref="AF14:AF35">$Z$8*$P$2/(SQRT(8)*G14)</f>
        <v>1.2990050439517737</v>
      </c>
      <c r="AG14" s="191">
        <f>IF(ABS(AF14)&lt;10,SIGN(AF14)*ERF(ABS(AF14)),SIGN(AF14))</f>
        <v>0.9338005032494504</v>
      </c>
      <c r="AH14" s="197">
        <f aca="true" t="shared" si="23" ref="AH14:AH35">MAX(MIN($Z$8*$P$2*($P$9+1)/(SQRT(8)*G14),10),-10)</f>
        <v>1.659839778382822</v>
      </c>
      <c r="AI14" s="198">
        <f aca="true" t="shared" si="24" ref="AI14:AI35">MAX(MIN($Z$8*$P$2*(1-$P$9)/(SQRT(8)*G14),10),-10)</f>
        <v>0.9381703095207257</v>
      </c>
    </row>
    <row r="15" spans="1:35" s="20" customFormat="1" ht="15" customHeight="1">
      <c r="A15" s="252">
        <f>$J$3</f>
        <v>0.2</v>
      </c>
      <c r="B15" s="97">
        <f t="shared" si="0"/>
        <v>-141.06413749999996</v>
      </c>
      <c r="C15" s="134">
        <f t="shared" si="1"/>
        <v>0.0385</v>
      </c>
      <c r="D15" s="149">
        <f t="shared" si="2"/>
        <v>13256.380845581096</v>
      </c>
      <c r="E15" s="149">
        <f t="shared" si="3"/>
        <v>10000</v>
      </c>
      <c r="F15" s="107">
        <f aca="true" t="shared" si="25" ref="F15:F35">SQRT((1000*$J$5/D15)^2+(1000*$J$5/E15)^2+$P$4^2)</f>
        <v>163.2737886946601</v>
      </c>
      <c r="G15" s="174">
        <f t="shared" si="4"/>
        <v>209.70667627595577</v>
      </c>
      <c r="H15" s="100">
        <f t="shared" si="5"/>
        <v>0.7408724918534416</v>
      </c>
      <c r="I15" s="97">
        <f t="shared" si="6"/>
        <v>0.835401089231038</v>
      </c>
      <c r="J15" s="97">
        <f t="shared" si="7"/>
        <v>-0.13841918492187497</v>
      </c>
      <c r="K15" s="97">
        <f t="shared" si="8"/>
        <v>0.01073528785685375</v>
      </c>
      <c r="L15" s="97">
        <f t="shared" si="9"/>
        <v>0.012427935963157501</v>
      </c>
      <c r="M15" s="97">
        <f aca="true" t="shared" si="26" ref="M15:M35">$P$5*10^9*($J$5/G15)*10^($B$8/10)</f>
        <v>0.0016022379733769334</v>
      </c>
      <c r="N15" s="97">
        <f aca="true" t="shared" si="27" ref="N15:N35">10*LOG10(1/SQRT(1-($J$6^2)*M15))</f>
        <v>0.17950790352165627</v>
      </c>
      <c r="O15" s="97">
        <f t="shared" si="10"/>
        <v>0.0010743691487904994</v>
      </c>
      <c r="P15" s="97">
        <f t="shared" si="11"/>
        <v>0</v>
      </c>
      <c r="Q15" s="97">
        <f t="shared" si="12"/>
        <v>0.3</v>
      </c>
      <c r="R15" s="203">
        <f t="shared" si="13"/>
        <v>0.3842358976046806</v>
      </c>
      <c r="S15" s="98">
        <f t="shared" si="14"/>
        <v>2.4535196873227645</v>
      </c>
      <c r="T15" s="97">
        <f t="shared" si="15"/>
        <v>2.3354010892310377</v>
      </c>
      <c r="U15" s="97">
        <f t="shared" si="16"/>
        <v>1.6181185980917265</v>
      </c>
      <c r="V15" s="102">
        <f t="shared" si="17"/>
        <v>4.046480312677236</v>
      </c>
      <c r="W15" s="103">
        <f t="shared" si="18"/>
        <v>-8.219636986835718</v>
      </c>
      <c r="X15" s="19"/>
      <c r="Y15" s="18">
        <f t="shared" si="19"/>
        <v>1.7566264497877127</v>
      </c>
      <c r="Z15" s="18">
        <f t="shared" si="20"/>
        <v>1.7566264497877127</v>
      </c>
      <c r="AA15" s="215">
        <f>ERF(AH15)+ERF(AI15)-1</f>
        <v>0.771772253765268</v>
      </c>
      <c r="AB15" s="101">
        <f t="shared" si="21"/>
        <v>6.5</v>
      </c>
      <c r="AC15" s="192">
        <f aca="true" t="shared" si="28" ref="AC15:AC35">$J$2</f>
        <v>0.55</v>
      </c>
      <c r="AD15" s="194">
        <v>0</v>
      </c>
      <c r="AE15" s="207">
        <f aca="true" t="shared" si="29" ref="AE15:AE35">IF(A15=$J$2,V15,0)</f>
        <v>0</v>
      </c>
      <c r="AF15" s="161">
        <f t="shared" si="22"/>
        <v>1.2444683144119992</v>
      </c>
      <c r="AG15" s="185">
        <f>IF(ABS(AF15)&lt;10,SIGN(AF15)*ERF(ABS(AF15)),SIGN(AF15))</f>
        <v>0.9215826749737775</v>
      </c>
      <c r="AH15" s="200">
        <f t="shared" si="23"/>
        <v>1.5901539573042212</v>
      </c>
      <c r="AI15" s="201">
        <f t="shared" si="24"/>
        <v>0.8987826715197772</v>
      </c>
    </row>
    <row r="16" spans="1:35" s="26" customFormat="1" ht="15" customHeight="1">
      <c r="A16" s="253">
        <f aca="true" t="shared" si="30" ref="A16:A35">A15+$J$4</f>
        <v>0.22</v>
      </c>
      <c r="B16" s="49">
        <f t="shared" si="0"/>
        <v>-141.06413749999996</v>
      </c>
      <c r="C16" s="135">
        <f t="shared" si="1"/>
        <v>0.0385</v>
      </c>
      <c r="D16" s="150">
        <f t="shared" si="2"/>
        <v>12051.255314164633</v>
      </c>
      <c r="E16" s="150">
        <f t="shared" si="3"/>
        <v>9090.90909090909</v>
      </c>
      <c r="F16" s="108">
        <f t="shared" si="25"/>
        <v>165.58230276933978</v>
      </c>
      <c r="G16" s="108">
        <f t="shared" si="4"/>
        <v>211.5090045137495</v>
      </c>
      <c r="H16" s="50">
        <f t="shared" si="5"/>
        <v>0.7674988482625107</v>
      </c>
      <c r="I16" s="49">
        <f t="shared" si="6"/>
        <v>0.9189411981541417</v>
      </c>
      <c r="J16" s="49">
        <f t="shared" si="7"/>
        <v>-0.15226110341406243</v>
      </c>
      <c r="K16" s="49">
        <f t="shared" si="8"/>
        <v>0.01296368410259832</v>
      </c>
      <c r="L16" s="49">
        <f t="shared" si="9"/>
        <v>0.018146785752610452</v>
      </c>
      <c r="M16" s="49">
        <f t="shared" si="26"/>
        <v>0.0015885848490112759</v>
      </c>
      <c r="N16" s="49">
        <f t="shared" si="27"/>
        <v>0.1779138473200707</v>
      </c>
      <c r="O16" s="49">
        <f t="shared" si="10"/>
        <v>0.0015564657882107258</v>
      </c>
      <c r="P16" s="49">
        <f t="shared" si="11"/>
        <v>0</v>
      </c>
      <c r="Q16" s="49">
        <f t="shared" si="12"/>
        <v>0.3</v>
      </c>
      <c r="R16" s="206">
        <f t="shared" si="13"/>
        <v>0.38654952304806867</v>
      </c>
      <c r="S16" s="53">
        <f t="shared" si="14"/>
        <v>2.5706066683256132</v>
      </c>
      <c r="T16" s="49">
        <f t="shared" si="15"/>
        <v>2.4189411981541418</v>
      </c>
      <c r="U16" s="49">
        <f t="shared" si="16"/>
        <v>1.6516654701714715</v>
      </c>
      <c r="V16" s="54">
        <f t="shared" si="17"/>
        <v>3.9293933316743868</v>
      </c>
      <c r="W16" s="99">
        <f t="shared" si="18"/>
        <v>-8.305490721202212</v>
      </c>
      <c r="X16" s="25">
        <f aca="true" t="shared" si="31" ref="X16:X34">(V17-V15)/2</f>
        <v>-0.11939632027032587</v>
      </c>
      <c r="Y16" s="23">
        <f t="shared" si="19"/>
        <v>1.7566264497877127</v>
      </c>
      <c r="Z16" s="23">
        <f t="shared" si="20"/>
        <v>1.7566264497877127</v>
      </c>
      <c r="AA16" s="214">
        <f>ERF(AH16)+ERF(AI16)-1</f>
        <v>0.7666465098049622</v>
      </c>
      <c r="AB16" s="52">
        <f t="shared" si="21"/>
        <v>6.5</v>
      </c>
      <c r="AC16" s="143">
        <f t="shared" si="28"/>
        <v>0.55</v>
      </c>
      <c r="AD16" s="144">
        <f aca="true" t="shared" si="32" ref="AD16:AD34">AD17</f>
        <v>7.9</v>
      </c>
      <c r="AE16" s="208">
        <f t="shared" si="29"/>
        <v>0</v>
      </c>
      <c r="AF16" s="162">
        <f t="shared" si="22"/>
        <v>1.2338638468184764</v>
      </c>
      <c r="AG16" s="186">
        <f>IF(ABS(AF16)&lt;10,SIGN(AF16)*ERF(ABS(AF16)),SIGN(AF16))</f>
        <v>0.9190058818837239</v>
      </c>
      <c r="AH16" s="202">
        <f t="shared" si="23"/>
        <v>1.576603804268053</v>
      </c>
      <c r="AI16" s="202">
        <f t="shared" si="24"/>
        <v>0.8911238893688996</v>
      </c>
    </row>
    <row r="17" spans="1:35" s="26" customFormat="1" ht="15" customHeight="1">
      <c r="A17" s="253">
        <f t="shared" si="30"/>
        <v>0.24</v>
      </c>
      <c r="B17" s="49">
        <f t="shared" si="0"/>
        <v>-141.06413749999996</v>
      </c>
      <c r="C17" s="135">
        <f t="shared" si="1"/>
        <v>0.0385</v>
      </c>
      <c r="D17" s="150">
        <f t="shared" si="2"/>
        <v>11046.984037984248</v>
      </c>
      <c r="E17" s="150">
        <f t="shared" si="3"/>
        <v>8333.333333333334</v>
      </c>
      <c r="F17" s="108">
        <f t="shared" si="25"/>
        <v>168.07429817667025</v>
      </c>
      <c r="G17" s="108">
        <f t="shared" si="4"/>
        <v>213.46552346358007</v>
      </c>
      <c r="H17" s="50">
        <f t="shared" si="5"/>
        <v>0.7968609783304488</v>
      </c>
      <c r="I17" s="49">
        <f t="shared" si="6"/>
        <v>1.0024813070772454</v>
      </c>
      <c r="J17" s="49">
        <f t="shared" si="7"/>
        <v>-0.16610302190624993</v>
      </c>
      <c r="K17" s="49">
        <f t="shared" si="8"/>
        <v>0.015394042890206816</v>
      </c>
      <c r="L17" s="49">
        <f t="shared" si="9"/>
        <v>0.025632771010812398</v>
      </c>
      <c r="M17" s="49">
        <f t="shared" si="26"/>
        <v>0.00157402466940909</v>
      </c>
      <c r="N17" s="49">
        <f t="shared" si="27"/>
        <v>0.1762151772248589</v>
      </c>
      <c r="O17" s="49">
        <f t="shared" si="10"/>
        <v>0.002180766097420933</v>
      </c>
      <c r="P17" s="49">
        <f t="shared" si="11"/>
        <v>0</v>
      </c>
      <c r="Q17" s="49">
        <f t="shared" si="12"/>
        <v>0.3</v>
      </c>
      <c r="R17" s="206">
        <f t="shared" si="13"/>
        <v>0.3889413281226297</v>
      </c>
      <c r="S17" s="53">
        <f t="shared" si="14"/>
        <v>2.692312327863416</v>
      </c>
      <c r="T17" s="49">
        <f t="shared" si="15"/>
        <v>2.5024813070772454</v>
      </c>
      <c r="U17" s="49">
        <f t="shared" si="16"/>
        <v>1.6898310207861704</v>
      </c>
      <c r="V17" s="54">
        <f t="shared" si="17"/>
        <v>3.807687672136584</v>
      </c>
      <c r="W17" s="99">
        <f t="shared" si="18"/>
        <v>-8.391422635199875</v>
      </c>
      <c r="X17" s="25">
        <f t="shared" si="31"/>
        <v>-0.12420296382912</v>
      </c>
      <c r="Y17" s="23">
        <f t="shared" si="19"/>
        <v>1.7566264497877127</v>
      </c>
      <c r="Z17" s="23">
        <f t="shared" si="20"/>
        <v>1.7566264497877127</v>
      </c>
      <c r="AA17" s="214">
        <f>ERF(AH17)+ERF(AI17)-1</f>
        <v>0.76106152911869</v>
      </c>
      <c r="AB17" s="52">
        <f t="shared" si="21"/>
        <v>6.5</v>
      </c>
      <c r="AC17" s="143">
        <f t="shared" si="28"/>
        <v>0.55</v>
      </c>
      <c r="AD17" s="144">
        <f t="shared" si="32"/>
        <v>7.9</v>
      </c>
      <c r="AE17" s="208">
        <f t="shared" si="29"/>
        <v>0</v>
      </c>
      <c r="AF17" s="162">
        <f t="shared" si="22"/>
        <v>1.2225548637159986</v>
      </c>
      <c r="AG17" s="186">
        <f>IF(ABS(AF17)&lt;10,SIGN(AF17)*ERF(ABS(AF17)),SIGN(AF17))</f>
        <v>0.9161825880018701</v>
      </c>
      <c r="AH17" s="202">
        <f t="shared" si="23"/>
        <v>1.5621534369704428</v>
      </c>
      <c r="AI17" s="202">
        <f t="shared" si="24"/>
        <v>0.8829562904615547</v>
      </c>
    </row>
    <row r="18" spans="1:35" s="26" customFormat="1" ht="15" customHeight="1">
      <c r="A18" s="253">
        <f t="shared" si="30"/>
        <v>0.26</v>
      </c>
      <c r="B18" s="49">
        <f t="shared" si="0"/>
        <v>-141.06413749999996</v>
      </c>
      <c r="C18" s="135">
        <f t="shared" si="1"/>
        <v>0.0385</v>
      </c>
      <c r="D18" s="150">
        <f t="shared" si="2"/>
        <v>10197.216035062382</v>
      </c>
      <c r="E18" s="150">
        <f t="shared" si="3"/>
        <v>7692.307692307692</v>
      </c>
      <c r="F18" s="108">
        <f t="shared" si="25"/>
        <v>170.74174131201013</v>
      </c>
      <c r="G18" s="108">
        <f t="shared" si="4"/>
        <v>215.5720348891697</v>
      </c>
      <c r="H18" s="50">
        <f t="shared" si="5"/>
        <v>0.8289993143424408</v>
      </c>
      <c r="I18" s="49">
        <f t="shared" si="6"/>
        <v>1.0860214160003494</v>
      </c>
      <c r="J18" s="49">
        <f t="shared" si="7"/>
        <v>-0.17994494039843745</v>
      </c>
      <c r="K18" s="49">
        <f t="shared" si="8"/>
        <v>0.01802361801195581</v>
      </c>
      <c r="L18" s="49">
        <f t="shared" si="9"/>
        <v>0.0352151974102356</v>
      </c>
      <c r="M18" s="49">
        <f t="shared" si="26"/>
        <v>0.0015586437274795171</v>
      </c>
      <c r="N18" s="49">
        <f t="shared" si="27"/>
        <v>0.17442219462460853</v>
      </c>
      <c r="O18" s="49">
        <f t="shared" si="10"/>
        <v>0.002971391718040589</v>
      </c>
      <c r="P18" s="49">
        <f t="shared" si="11"/>
        <v>0</v>
      </c>
      <c r="Q18" s="49">
        <f t="shared" si="12"/>
        <v>0.3</v>
      </c>
      <c r="R18" s="206">
        <f t="shared" si="13"/>
        <v>0.39138308188817805</v>
      </c>
      <c r="S18" s="53">
        <f t="shared" si="14"/>
        <v>2.8190125959838532</v>
      </c>
      <c r="T18" s="49">
        <f t="shared" si="15"/>
        <v>2.5860214160003494</v>
      </c>
      <c r="U18" s="49">
        <f t="shared" si="16"/>
        <v>1.7329911799835038</v>
      </c>
      <c r="V18" s="54">
        <f t="shared" si="17"/>
        <v>3.6809874040161468</v>
      </c>
      <c r="W18" s="99">
        <f t="shared" si="18"/>
        <v>-8.477404497888527</v>
      </c>
      <c r="X18" s="25">
        <f t="shared" si="31"/>
        <v>-0.12940113860660296</v>
      </c>
      <c r="Y18" s="23">
        <f t="shared" si="19"/>
        <v>1.7566264497877127</v>
      </c>
      <c r="Z18" s="23">
        <f t="shared" si="20"/>
        <v>1.7566264497877127</v>
      </c>
      <c r="AA18" s="214">
        <f>ERF(AH18)+ERF(AI18)-1</f>
        <v>0.7550257447322948</v>
      </c>
      <c r="AB18" s="52">
        <f t="shared" si="21"/>
        <v>6.5</v>
      </c>
      <c r="AC18" s="143">
        <f t="shared" si="28"/>
        <v>0.55</v>
      </c>
      <c r="AD18" s="144">
        <f t="shared" si="32"/>
        <v>7.9</v>
      </c>
      <c r="AE18" s="208">
        <f t="shared" si="29"/>
        <v>0</v>
      </c>
      <c r="AF18" s="162">
        <f t="shared" si="22"/>
        <v>1.210608389350008</v>
      </c>
      <c r="AG18" s="186">
        <f>IF(ABS(AF18)&lt;10,SIGN(AF18)*ERF(ABS(AF18)),SIGN(AF18))</f>
        <v>0.9131141520936319</v>
      </c>
      <c r="AH18" s="202">
        <f t="shared" si="23"/>
        <v>1.546888497502788</v>
      </c>
      <c r="AI18" s="202">
        <f t="shared" si="24"/>
        <v>0.874328281197228</v>
      </c>
    </row>
    <row r="19" spans="1:35" s="26" customFormat="1" ht="15" customHeight="1">
      <c r="A19" s="253">
        <f t="shared" si="30"/>
        <v>0.28</v>
      </c>
      <c r="B19" s="49">
        <f t="shared" si="0"/>
        <v>-141.06413749999996</v>
      </c>
      <c r="C19" s="135">
        <f t="shared" si="1"/>
        <v>0.0385</v>
      </c>
      <c r="D19" s="150">
        <f t="shared" si="2"/>
        <v>9468.843461129354</v>
      </c>
      <c r="E19" s="150">
        <f t="shared" si="3"/>
        <v>7142.857142857142</v>
      </c>
      <c r="F19" s="108">
        <f t="shared" si="25"/>
        <v>173.5765437679547</v>
      </c>
      <c r="G19" s="108">
        <f t="shared" si="4"/>
        <v>217.8241872392244</v>
      </c>
      <c r="H19" s="50">
        <f t="shared" si="5"/>
        <v>0.8639532526525583</v>
      </c>
      <c r="I19" s="49">
        <f t="shared" si="6"/>
        <v>1.1695615249234532</v>
      </c>
      <c r="J19" s="49">
        <f t="shared" si="7"/>
        <v>-0.19378685889062494</v>
      </c>
      <c r="K19" s="49">
        <f t="shared" si="8"/>
        <v>0.020849447417215415</v>
      </c>
      <c r="L19" s="49">
        <f t="shared" si="9"/>
        <v>0.047253644687324875</v>
      </c>
      <c r="M19" s="49">
        <f t="shared" si="26"/>
        <v>0.0015425284228467683</v>
      </c>
      <c r="N19" s="49">
        <f t="shared" si="27"/>
        <v>0.17254519293974216</v>
      </c>
      <c r="O19" s="49">
        <f t="shared" si="10"/>
        <v>0.003954412241992694</v>
      </c>
      <c r="P19" s="49">
        <f t="shared" si="11"/>
        <v>0</v>
      </c>
      <c r="Q19" s="49">
        <f t="shared" si="12"/>
        <v>0.3</v>
      </c>
      <c r="R19" s="206">
        <f t="shared" si="13"/>
        <v>0.3938465776315504</v>
      </c>
      <c r="S19" s="53">
        <f t="shared" si="14"/>
        <v>2.9511146050766217</v>
      </c>
      <c r="T19" s="49">
        <f t="shared" si="15"/>
        <v>2.669561524923453</v>
      </c>
      <c r="U19" s="49">
        <f t="shared" si="16"/>
        <v>1.7815530801531685</v>
      </c>
      <c r="V19" s="54">
        <f t="shared" si="17"/>
        <v>3.5488853949233783</v>
      </c>
      <c r="W19" s="99">
        <f t="shared" si="18"/>
        <v>-8.563408102555002</v>
      </c>
      <c r="X19" s="25">
        <f t="shared" si="31"/>
        <v>-0.1350235681397165</v>
      </c>
      <c r="Y19" s="23">
        <f t="shared" si="19"/>
        <v>1.7566264497877127</v>
      </c>
      <c r="Z19" s="23">
        <f t="shared" si="20"/>
        <v>1.7566264497877127</v>
      </c>
      <c r="AA19" s="214">
        <f>ERF(AH19)+ERF(AI19)-1</f>
        <v>0.7485486250406905</v>
      </c>
      <c r="AB19" s="52">
        <f t="shared" si="21"/>
        <v>6.5</v>
      </c>
      <c r="AC19" s="143">
        <f t="shared" si="28"/>
        <v>0.55</v>
      </c>
      <c r="AD19" s="144">
        <f t="shared" si="32"/>
        <v>7.9</v>
      </c>
      <c r="AE19" s="208">
        <f t="shared" si="29"/>
        <v>0</v>
      </c>
      <c r="AF19" s="162">
        <f t="shared" si="22"/>
        <v>1.1980915308522133</v>
      </c>
      <c r="AG19" s="186">
        <f>IF(ABS(AF19)&lt;10,SIGN(AF19)*ERF(ABS(AF19)),SIGN(AF19))</f>
        <v>0.9098025713216249</v>
      </c>
      <c r="AH19" s="202">
        <f t="shared" si="23"/>
        <v>1.5308947338667167</v>
      </c>
      <c r="AI19" s="202">
        <f t="shared" si="24"/>
        <v>0.8652883278377096</v>
      </c>
    </row>
    <row r="20" spans="1:35" s="20" customFormat="1" ht="15" customHeight="1">
      <c r="A20" s="252">
        <f t="shared" si="30"/>
        <v>0.30000000000000004</v>
      </c>
      <c r="B20" s="97">
        <f t="shared" si="0"/>
        <v>-141.06413749999996</v>
      </c>
      <c r="C20" s="134">
        <f t="shared" si="1"/>
        <v>0.0385</v>
      </c>
      <c r="D20" s="149">
        <f t="shared" si="2"/>
        <v>8837.587230387397</v>
      </c>
      <c r="E20" s="149">
        <f t="shared" si="3"/>
        <v>6666.666666666666</v>
      </c>
      <c r="F20" s="107">
        <f t="shared" si="25"/>
        <v>176.57064497841694</v>
      </c>
      <c r="G20" s="107">
        <f t="shared" si="4"/>
        <v>220.21751217397346</v>
      </c>
      <c r="H20" s="100">
        <f t="shared" si="5"/>
        <v>0.9017596678272306</v>
      </c>
      <c r="I20" s="97">
        <f t="shared" si="6"/>
        <v>1.253101633846557</v>
      </c>
      <c r="J20" s="97">
        <f t="shared" si="7"/>
        <v>-0.20762877738281246</v>
      </c>
      <c r="K20" s="97">
        <f t="shared" si="8"/>
        <v>0.02386835877177017</v>
      </c>
      <c r="L20" s="97">
        <f t="shared" si="9"/>
        <v>0.06214035775410358</v>
      </c>
      <c r="M20" s="97">
        <f t="shared" si="26"/>
        <v>0.0015257642168555493</v>
      </c>
      <c r="N20" s="97">
        <f t="shared" si="27"/>
        <v>0.170594331861479</v>
      </c>
      <c r="O20" s="97">
        <f t="shared" si="10"/>
        <v>0.00515821829148283</v>
      </c>
      <c r="P20" s="97">
        <f t="shared" si="11"/>
        <v>0</v>
      </c>
      <c r="Q20" s="97">
        <f t="shared" si="12"/>
        <v>0.3</v>
      </c>
      <c r="R20" s="205">
        <f t="shared" si="13"/>
        <v>0.39630552268243346</v>
      </c>
      <c r="S20" s="98">
        <f t="shared" si="14"/>
        <v>3.0890597322632862</v>
      </c>
      <c r="T20" s="97">
        <f t="shared" si="15"/>
        <v>2.753101633846557</v>
      </c>
      <c r="U20" s="97">
        <f t="shared" si="16"/>
        <v>1.8359580984167292</v>
      </c>
      <c r="V20" s="102">
        <f t="shared" si="17"/>
        <v>3.4109402677367138</v>
      </c>
      <c r="W20" s="103">
        <f t="shared" si="18"/>
        <v>-8.64940715652899</v>
      </c>
      <c r="X20" s="27">
        <f t="shared" si="31"/>
        <v>-0.14110677937489413</v>
      </c>
      <c r="Y20" s="18">
        <f t="shared" si="19"/>
        <v>1.7566264497877127</v>
      </c>
      <c r="Z20" s="18">
        <f t="shared" si="20"/>
        <v>1.7566264497877127</v>
      </c>
      <c r="AA20" s="216">
        <f>ERF(AH20)+ERF(AI20)-1</f>
        <v>0.7416405732970501</v>
      </c>
      <c r="AB20" s="101">
        <f t="shared" si="21"/>
        <v>6.5</v>
      </c>
      <c r="AC20" s="192">
        <f t="shared" si="28"/>
        <v>0.55</v>
      </c>
      <c r="AD20" s="193">
        <f t="shared" si="32"/>
        <v>7.9</v>
      </c>
      <c r="AE20" s="207">
        <f t="shared" si="29"/>
        <v>0</v>
      </c>
      <c r="AF20" s="161">
        <f t="shared" si="22"/>
        <v>1.1850706665867272</v>
      </c>
      <c r="AG20" s="185">
        <f>IF(ABS(AF20)&lt;10,SIGN(AF20)*ERF(ABS(AF20)),SIGN(AF20))</f>
        <v>0.9062506207171699</v>
      </c>
      <c r="AH20" s="200">
        <f t="shared" si="23"/>
        <v>1.5142569628608182</v>
      </c>
      <c r="AI20" s="200">
        <f t="shared" si="24"/>
        <v>0.8558843703126364</v>
      </c>
    </row>
    <row r="21" spans="1:35" s="26" customFormat="1" ht="15" customHeight="1">
      <c r="A21" s="253">
        <f t="shared" si="30"/>
        <v>0.32000000000000006</v>
      </c>
      <c r="B21" s="49">
        <f t="shared" si="0"/>
        <v>-141.06413749999996</v>
      </c>
      <c r="C21" s="135">
        <f t="shared" si="1"/>
        <v>0.0385</v>
      </c>
      <c r="D21" s="150">
        <f t="shared" si="2"/>
        <v>8285.238028488184</v>
      </c>
      <c r="E21" s="150">
        <f t="shared" si="3"/>
        <v>6249.999999999999</v>
      </c>
      <c r="F21" s="108">
        <f t="shared" si="25"/>
        <v>179.71608328486852</v>
      </c>
      <c r="G21" s="108">
        <f t="shared" si="4"/>
        <v>222.7474592251364</v>
      </c>
      <c r="H21" s="50">
        <f t="shared" si="5"/>
        <v>0.942452829338944</v>
      </c>
      <c r="I21" s="49">
        <f t="shared" si="6"/>
        <v>1.3366417427696609</v>
      </c>
      <c r="J21" s="49">
        <f t="shared" si="7"/>
        <v>-0.22147069587499996</v>
      </c>
      <c r="K21" s="49">
        <f t="shared" si="8"/>
        <v>0.027076975391277444</v>
      </c>
      <c r="L21" s="49">
        <f t="shared" si="9"/>
        <v>0.08030365947229082</v>
      </c>
      <c r="M21" s="49">
        <f t="shared" si="26"/>
        <v>0.001508434714222246</v>
      </c>
      <c r="N21" s="49">
        <f t="shared" si="27"/>
        <v>0.16857952748085198</v>
      </c>
      <c r="O21" s="49">
        <f t="shared" si="10"/>
        <v>0.006614076532015151</v>
      </c>
      <c r="P21" s="49">
        <f t="shared" si="11"/>
        <v>0</v>
      </c>
      <c r="Q21" s="49">
        <f t="shared" si="12"/>
        <v>0.3</v>
      </c>
      <c r="R21" s="206">
        <f t="shared" si="13"/>
        <v>0.39873632823264726</v>
      </c>
      <c r="S21" s="53">
        <f t="shared" si="14"/>
        <v>3.23332816382641</v>
      </c>
      <c r="T21" s="49">
        <f t="shared" si="15"/>
        <v>2.836641742769661</v>
      </c>
      <c r="U21" s="49">
        <f t="shared" si="16"/>
        <v>1.8966864210567491</v>
      </c>
      <c r="V21" s="54">
        <f t="shared" si="17"/>
        <v>3.26667183617359</v>
      </c>
      <c r="W21" s="99">
        <f t="shared" si="18"/>
        <v>-8.735378071002309</v>
      </c>
      <c r="X21" s="25">
        <f t="shared" si="31"/>
        <v>-0.14769146983526604</v>
      </c>
      <c r="Y21" s="23">
        <f t="shared" si="19"/>
        <v>1.7566264497877127</v>
      </c>
      <c r="Z21" s="23">
        <f t="shared" si="20"/>
        <v>1.7566264497877127</v>
      </c>
      <c r="AA21" s="214">
        <f>ERF(AH21)+ERF(AI21)-1</f>
        <v>0.7343127757662551</v>
      </c>
      <c r="AB21" s="52">
        <f t="shared" si="21"/>
        <v>6.5</v>
      </c>
      <c r="AC21" s="143">
        <f t="shared" si="28"/>
        <v>0.55</v>
      </c>
      <c r="AD21" s="144">
        <f t="shared" si="32"/>
        <v>7.9</v>
      </c>
      <c r="AE21" s="208">
        <f t="shared" si="29"/>
        <v>0</v>
      </c>
      <c r="AF21" s="162">
        <f t="shared" si="22"/>
        <v>1.1716107328627674</v>
      </c>
      <c r="AG21" s="186">
        <f>IF(ABS(AF21)&lt;10,SIGN(AF21)*ERF(ABS(AF21)),SIGN(AF21))</f>
        <v>0.9024618520508785</v>
      </c>
      <c r="AH21" s="202">
        <f t="shared" si="23"/>
        <v>1.4970581586579805</v>
      </c>
      <c r="AI21" s="202">
        <f t="shared" si="24"/>
        <v>0.8461633070675543</v>
      </c>
    </row>
    <row r="22" spans="1:35" s="26" customFormat="1" ht="15" customHeight="1">
      <c r="A22" s="253">
        <f t="shared" si="30"/>
        <v>0.3400000000000001</v>
      </c>
      <c r="B22" s="49">
        <f t="shared" si="0"/>
        <v>-141.06413749999996</v>
      </c>
      <c r="C22" s="135">
        <f t="shared" si="1"/>
        <v>0.0385</v>
      </c>
      <c r="D22" s="150">
        <f t="shared" si="2"/>
        <v>7797.871085635937</v>
      </c>
      <c r="E22" s="150">
        <f t="shared" si="3"/>
        <v>5882.352941176469</v>
      </c>
      <c r="F22" s="108">
        <f t="shared" si="25"/>
        <v>183.00505543811516</v>
      </c>
      <c r="G22" s="108">
        <f t="shared" si="4"/>
        <v>225.4094281877038</v>
      </c>
      <c r="H22" s="50">
        <f t="shared" si="5"/>
        <v>0.9860638092656427</v>
      </c>
      <c r="I22" s="49">
        <f t="shared" si="6"/>
        <v>1.4201818516927647</v>
      </c>
      <c r="J22" s="49">
        <f t="shared" si="7"/>
        <v>-0.23531261436718748</v>
      </c>
      <c r="K22" s="49">
        <f t="shared" si="8"/>
        <v>0.030471722533330643</v>
      </c>
      <c r="L22" s="49">
        <f t="shared" si="9"/>
        <v>0.10221263845116871</v>
      </c>
      <c r="M22" s="49">
        <f t="shared" si="26"/>
        <v>0.0014906208790885392</v>
      </c>
      <c r="N22" s="49">
        <f t="shared" si="27"/>
        <v>0.1665103591702647</v>
      </c>
      <c r="O22" s="49">
        <f t="shared" si="10"/>
        <v>0.008356910530651546</v>
      </c>
      <c r="P22" s="49">
        <f t="shared" si="11"/>
        <v>0</v>
      </c>
      <c r="Q22" s="49">
        <f t="shared" si="12"/>
        <v>0.3</v>
      </c>
      <c r="R22" s="206">
        <f t="shared" si="13"/>
        <v>0.40111710282332635</v>
      </c>
      <c r="S22" s="53">
        <f t="shared" si="14"/>
        <v>3.3844426719338183</v>
      </c>
      <c r="T22" s="49">
        <f t="shared" si="15"/>
        <v>2.9201818516927647</v>
      </c>
      <c r="U22" s="49">
        <f t="shared" si="16"/>
        <v>1.9642608202410536</v>
      </c>
      <c r="V22" s="54">
        <f t="shared" si="17"/>
        <v>3.1155573280661817</v>
      </c>
      <c r="W22" s="99">
        <f t="shared" si="18"/>
        <v>-8.82129895451609</v>
      </c>
      <c r="X22" s="25">
        <f t="shared" si="31"/>
        <v>-0.15482413354623747</v>
      </c>
      <c r="Y22" s="23">
        <f t="shared" si="19"/>
        <v>1.7566264497877127</v>
      </c>
      <c r="Z22" s="23">
        <f t="shared" si="20"/>
        <v>1.7566264497877127</v>
      </c>
      <c r="AA22" s="214">
        <f>ERF(AH22)+ERF(AI22)-1</f>
        <v>0.7265774396010571</v>
      </c>
      <c r="AB22" s="52">
        <f t="shared" si="21"/>
        <v>6.5</v>
      </c>
      <c r="AC22" s="143">
        <f t="shared" si="28"/>
        <v>0.55</v>
      </c>
      <c r="AD22" s="144">
        <f t="shared" si="32"/>
        <v>7.9</v>
      </c>
      <c r="AE22" s="208">
        <f t="shared" si="29"/>
        <v>0</v>
      </c>
      <c r="AF22" s="162">
        <f t="shared" si="22"/>
        <v>1.1577746150385633</v>
      </c>
      <c r="AG22" s="186">
        <f>IF(ABS(AF22)&lt;10,SIGN(AF22)*ERF(ABS(AF22)),SIGN(AF22))</f>
        <v>0.8984406348547314</v>
      </c>
      <c r="AH22" s="202">
        <f t="shared" si="23"/>
        <v>1.4793786747714976</v>
      </c>
      <c r="AI22" s="202">
        <f t="shared" si="24"/>
        <v>0.8361705553056291</v>
      </c>
    </row>
    <row r="23" spans="1:35" s="26" customFormat="1" ht="15" customHeight="1">
      <c r="A23" s="253">
        <f t="shared" si="30"/>
        <v>0.3600000000000001</v>
      </c>
      <c r="B23" s="49">
        <f t="shared" si="0"/>
        <v>-141.06413749999996</v>
      </c>
      <c r="C23" s="135">
        <f t="shared" si="1"/>
        <v>0.0385</v>
      </c>
      <c r="D23" s="150">
        <f t="shared" si="2"/>
        <v>7364.656025322829</v>
      </c>
      <c r="E23" s="150">
        <f t="shared" si="3"/>
        <v>5555.555555555554</v>
      </c>
      <c r="F23" s="108">
        <f t="shared" si="25"/>
        <v>186.42996497895822</v>
      </c>
      <c r="G23" s="108">
        <f t="shared" si="4"/>
        <v>228.19879894963424</v>
      </c>
      <c r="H23" s="50">
        <f t="shared" si="5"/>
        <v>1.0326199234772575</v>
      </c>
      <c r="I23" s="49">
        <f t="shared" si="6"/>
        <v>1.5037219606158687</v>
      </c>
      <c r="J23" s="49">
        <f t="shared" si="7"/>
        <v>-0.24915453285937497</v>
      </c>
      <c r="K23" s="49">
        <f t="shared" si="8"/>
        <v>0.034048834031721334</v>
      </c>
      <c r="L23" s="49">
        <f t="shared" si="9"/>
        <v>0.12838343728298177</v>
      </c>
      <c r="M23" s="49">
        <f t="shared" si="26"/>
        <v>0.001472400387497914</v>
      </c>
      <c r="N23" s="49">
        <f t="shared" si="27"/>
        <v>0.16439599336806843</v>
      </c>
      <c r="O23" s="49">
        <f t="shared" si="10"/>
        <v>0.010426367717583068</v>
      </c>
      <c r="P23" s="49">
        <f t="shared" si="11"/>
        <v>0</v>
      </c>
      <c r="Q23" s="49">
        <f t="shared" si="12"/>
        <v>0.3</v>
      </c>
      <c r="R23" s="206">
        <f t="shared" si="13"/>
        <v>0.40342874845712573</v>
      </c>
      <c r="S23" s="53">
        <f t="shared" si="14"/>
        <v>3.542976430918885</v>
      </c>
      <c r="T23" s="49">
        <f t="shared" si="15"/>
        <v>3.0037219606158687</v>
      </c>
      <c r="U23" s="49">
        <f t="shared" si="16"/>
        <v>2.039254470303016</v>
      </c>
      <c r="V23" s="54">
        <f t="shared" si="17"/>
        <v>2.957023569081115</v>
      </c>
      <c r="W23" s="99">
        <f t="shared" si="18"/>
        <v>-8.907150709072994</v>
      </c>
      <c r="X23" s="25">
        <f t="shared" si="31"/>
        <v>-0.16256060144787488</v>
      </c>
      <c r="Y23" s="23">
        <f t="shared" si="19"/>
        <v>1.7566264497877127</v>
      </c>
      <c r="Z23" s="23">
        <f t="shared" si="20"/>
        <v>1.7566264497877127</v>
      </c>
      <c r="AA23" s="214">
        <f>ERF(AH23)+ERF(AI23)-1</f>
        <v>0.7184476570133032</v>
      </c>
      <c r="AB23" s="52">
        <f t="shared" si="21"/>
        <v>6.5</v>
      </c>
      <c r="AC23" s="143">
        <f t="shared" si="28"/>
        <v>0.55</v>
      </c>
      <c r="AD23" s="144">
        <f t="shared" si="32"/>
        <v>7.9</v>
      </c>
      <c r="AE23" s="208">
        <f t="shared" si="29"/>
        <v>0</v>
      </c>
      <c r="AF23" s="162">
        <f t="shared" si="22"/>
        <v>1.1436226445857889</v>
      </c>
      <c r="AG23" s="186">
        <f>IF(ABS(AF23)&lt;10,SIGN(AF23)*ERF(ABS(AF23)),SIGN(AF23))</f>
        <v>0.8941921868169496</v>
      </c>
      <c r="AH23" s="202">
        <f t="shared" si="23"/>
        <v>1.4612956014151746</v>
      </c>
      <c r="AI23" s="202">
        <f t="shared" si="24"/>
        <v>0.8259496877564032</v>
      </c>
    </row>
    <row r="24" spans="1:35" s="26" customFormat="1" ht="15" customHeight="1">
      <c r="A24" s="253">
        <f t="shared" si="30"/>
        <v>0.3800000000000001</v>
      </c>
      <c r="B24" s="49">
        <f t="shared" si="0"/>
        <v>-141.06413749999996</v>
      </c>
      <c r="C24" s="135">
        <f t="shared" si="1"/>
        <v>0.0385</v>
      </c>
      <c r="D24" s="150">
        <f t="shared" si="2"/>
        <v>6977.042550305839</v>
      </c>
      <c r="E24" s="150">
        <f t="shared" si="3"/>
        <v>5263.157894736841</v>
      </c>
      <c r="F24" s="108">
        <f t="shared" si="25"/>
        <v>189.98346025298554</v>
      </c>
      <c r="G24" s="108">
        <f t="shared" si="4"/>
        <v>231.1109585668705</v>
      </c>
      <c r="H24" s="50">
        <f t="shared" si="5"/>
        <v>1.082145316071648</v>
      </c>
      <c r="I24" s="49">
        <f t="shared" si="6"/>
        <v>1.5872620695389725</v>
      </c>
      <c r="J24" s="49">
        <f t="shared" si="7"/>
        <v>-0.26299645135156247</v>
      </c>
      <c r="K24" s="49">
        <f t="shared" si="8"/>
        <v>0.03780435925567192</v>
      </c>
      <c r="L24" s="49">
        <f t="shared" si="9"/>
        <v>0.1593875699423539</v>
      </c>
      <c r="M24" s="49">
        <f t="shared" si="26"/>
        <v>0.0014538471134538631</v>
      </c>
      <c r="N24" s="49">
        <f t="shared" si="27"/>
        <v>0.16224512381895528</v>
      </c>
      <c r="O24" s="49">
        <f t="shared" si="10"/>
        <v>0.012868257731105531</v>
      </c>
      <c r="P24" s="49">
        <f t="shared" si="11"/>
        <v>0</v>
      </c>
      <c r="Q24" s="49">
        <f t="shared" si="12"/>
        <v>0.3</v>
      </c>
      <c r="R24" s="206">
        <f t="shared" si="13"/>
        <v>0.4056555377265334</v>
      </c>
      <c r="S24" s="53">
        <f t="shared" si="14"/>
        <v>3.709563874829568</v>
      </c>
      <c r="T24" s="49">
        <f t="shared" si="15"/>
        <v>3.0872620695389728</v>
      </c>
      <c r="U24" s="49">
        <f t="shared" si="16"/>
        <v>2.1223018052905953</v>
      </c>
      <c r="V24" s="54">
        <f t="shared" si="17"/>
        <v>2.790436125170432</v>
      </c>
      <c r="W24" s="99">
        <f t="shared" si="18"/>
        <v>-8.992917607265506</v>
      </c>
      <c r="X24" s="25">
        <f t="shared" si="31"/>
        <v>-0.17096737728586398</v>
      </c>
      <c r="Y24" s="23">
        <f t="shared" si="19"/>
        <v>1.7566264497877127</v>
      </c>
      <c r="Z24" s="23">
        <f t="shared" si="20"/>
        <v>1.7566264497877127</v>
      </c>
      <c r="AA24" s="214">
        <f>ERF(AH24)+ERF(AI24)-1</f>
        <v>0.7099371693541734</v>
      </c>
      <c r="AB24" s="52">
        <f t="shared" si="21"/>
        <v>6.5</v>
      </c>
      <c r="AC24" s="143">
        <f t="shared" si="28"/>
        <v>0.55</v>
      </c>
      <c r="AD24" s="144">
        <f t="shared" si="32"/>
        <v>7.9</v>
      </c>
      <c r="AE24" s="208">
        <f t="shared" si="29"/>
        <v>0</v>
      </c>
      <c r="AF24" s="162">
        <f t="shared" si="22"/>
        <v>1.129212199907736</v>
      </c>
      <c r="AG24" s="186">
        <f>IF(ABS(AF24)&lt;10,SIGN(AF24)*ERF(ABS(AF24)),SIGN(AF24))</f>
        <v>0.8897224936474</v>
      </c>
      <c r="AH24" s="202">
        <f t="shared" si="23"/>
        <v>1.4428822554376628</v>
      </c>
      <c r="AI24" s="202">
        <f t="shared" si="24"/>
        <v>0.8155421443778095</v>
      </c>
    </row>
    <row r="25" spans="1:35" s="20" customFormat="1" ht="15" customHeight="1">
      <c r="A25" s="252">
        <f t="shared" si="30"/>
        <v>0.40000000000000013</v>
      </c>
      <c r="B25" s="97">
        <f t="shared" si="0"/>
        <v>-141.06413749999996</v>
      </c>
      <c r="C25" s="134">
        <f t="shared" si="1"/>
        <v>0.0385</v>
      </c>
      <c r="D25" s="149">
        <f t="shared" si="2"/>
        <v>6628.190422790547</v>
      </c>
      <c r="E25" s="149">
        <f t="shared" si="3"/>
        <v>4999.999999999998</v>
      </c>
      <c r="F25" s="107">
        <f t="shared" si="25"/>
        <v>193.6584630188778</v>
      </c>
      <c r="G25" s="107">
        <f t="shared" si="4"/>
        <v>234.141325482782</v>
      </c>
      <c r="H25" s="100">
        <f t="shared" si="5"/>
        <v>1.1346597343228848</v>
      </c>
      <c r="I25" s="97">
        <f t="shared" si="6"/>
        <v>1.6708021784620763</v>
      </c>
      <c r="J25" s="97">
        <f t="shared" si="7"/>
        <v>-0.27683836984375</v>
      </c>
      <c r="K25" s="97">
        <f t="shared" si="8"/>
        <v>0.041734170376046736</v>
      </c>
      <c r="L25" s="97">
        <f t="shared" si="9"/>
        <v>0.19586284613243676</v>
      </c>
      <c r="M25" s="97">
        <f t="shared" si="26"/>
        <v>0.0014350307418273685</v>
      </c>
      <c r="N25" s="97">
        <f t="shared" si="27"/>
        <v>0.1600659273503713</v>
      </c>
      <c r="O25" s="97">
        <f t="shared" si="10"/>
        <v>0.0157364855330919</v>
      </c>
      <c r="P25" s="97">
        <f t="shared" si="11"/>
        <v>0</v>
      </c>
      <c r="Q25" s="97">
        <f t="shared" si="12"/>
        <v>0.3</v>
      </c>
      <c r="R25" s="205">
        <f t="shared" si="13"/>
        <v>0.4077840136897517</v>
      </c>
      <c r="S25" s="98">
        <f t="shared" si="14"/>
        <v>3.884911185490613</v>
      </c>
      <c r="T25" s="97">
        <f t="shared" si="15"/>
        <v>3.1708021784620763</v>
      </c>
      <c r="U25" s="97">
        <f t="shared" si="16"/>
        <v>2.2141090070285365</v>
      </c>
      <c r="V25" s="102">
        <f t="shared" si="17"/>
        <v>2.615088814509387</v>
      </c>
      <c r="W25" s="103">
        <f t="shared" si="18"/>
        <v>-9.078586192151826</v>
      </c>
      <c r="X25" s="27">
        <f t="shared" si="31"/>
        <v>-0.18012602763891072</v>
      </c>
      <c r="Y25" s="18">
        <f t="shared" si="19"/>
        <v>1.7566264497877127</v>
      </c>
      <c r="Z25" s="18">
        <f t="shared" si="20"/>
        <v>1.7566264497877127</v>
      </c>
      <c r="AA25" s="216">
        <f>ERF(AH25)+ERF(AI25)-1</f>
        <v>0.70106070491853</v>
      </c>
      <c r="AB25" s="101">
        <f t="shared" si="21"/>
        <v>6.5</v>
      </c>
      <c r="AC25" s="192">
        <f t="shared" si="28"/>
        <v>0.55</v>
      </c>
      <c r="AD25" s="193">
        <f t="shared" si="32"/>
        <v>7.9</v>
      </c>
      <c r="AE25" s="207">
        <f t="shared" si="29"/>
        <v>0</v>
      </c>
      <c r="AF25" s="161">
        <f t="shared" si="22"/>
        <v>1.1145974056821188</v>
      </c>
      <c r="AG25" s="185">
        <f>IF(ABS(AF25)&lt;10,SIGN(AF25)*ERF(ABS(AF25)),SIGN(AF25))</f>
        <v>0.8850383883953857</v>
      </c>
      <c r="AH25" s="200">
        <f t="shared" si="23"/>
        <v>1.4242077961493742</v>
      </c>
      <c r="AI25" s="200">
        <f t="shared" si="24"/>
        <v>0.8049870152148637</v>
      </c>
    </row>
    <row r="26" spans="1:35" s="26" customFormat="1" ht="15" customHeight="1">
      <c r="A26" s="253">
        <f t="shared" si="30"/>
        <v>0.42000000000000015</v>
      </c>
      <c r="B26" s="49">
        <f t="shared" si="0"/>
        <v>-141.06413749999996</v>
      </c>
      <c r="C26" s="135">
        <f t="shared" si="1"/>
        <v>0.0385</v>
      </c>
      <c r="D26" s="150">
        <f t="shared" si="2"/>
        <v>6312.562307419568</v>
      </c>
      <c r="E26" s="150">
        <f t="shared" si="3"/>
        <v>4761.904761904761</v>
      </c>
      <c r="F26" s="108">
        <f t="shared" si="25"/>
        <v>197.44818872166073</v>
      </c>
      <c r="G26" s="108">
        <f t="shared" si="4"/>
        <v>237.28537087116126</v>
      </c>
      <c r="H26" s="50">
        <f t="shared" si="5"/>
        <v>1.1901790418401517</v>
      </c>
      <c r="I26" s="49">
        <f t="shared" si="6"/>
        <v>1.7543422873851802</v>
      </c>
      <c r="J26" s="49">
        <f t="shared" si="7"/>
        <v>-0.2906802883359375</v>
      </c>
      <c r="K26" s="49">
        <f t="shared" si="8"/>
        <v>0.045833969919848214</v>
      </c>
      <c r="L26" s="49">
        <f t="shared" si="9"/>
        <v>0.23852769738344143</v>
      </c>
      <c r="M26" s="49">
        <f t="shared" si="26"/>
        <v>0.0014160164984736367</v>
      </c>
      <c r="N26" s="49">
        <f t="shared" si="27"/>
        <v>0.1578660339179466</v>
      </c>
      <c r="O26" s="49">
        <f t="shared" si="10"/>
        <v>0.019095661037449946</v>
      </c>
      <c r="P26" s="49">
        <f t="shared" si="11"/>
        <v>0</v>
      </c>
      <c r="Q26" s="49">
        <f t="shared" si="12"/>
        <v>0.3</v>
      </c>
      <c r="R26" s="206">
        <f t="shared" si="13"/>
        <v>0.40980520854322</v>
      </c>
      <c r="S26" s="53">
        <f t="shared" si="14"/>
        <v>4.0698159301073895</v>
      </c>
      <c r="T26" s="49">
        <f t="shared" si="15"/>
        <v>3.25434228738518</v>
      </c>
      <c r="U26" s="49">
        <f t="shared" si="16"/>
        <v>2.3154736427222096</v>
      </c>
      <c r="V26" s="54">
        <f t="shared" si="17"/>
        <v>2.4301840698926105</v>
      </c>
      <c r="W26" s="99">
        <f t="shared" si="18"/>
        <v>-9.1641474959284</v>
      </c>
      <c r="X26" s="25">
        <f t="shared" si="31"/>
        <v>-0.19013785360246116</v>
      </c>
      <c r="Y26" s="23">
        <f t="shared" si="19"/>
        <v>1.7566264497877127</v>
      </c>
      <c r="Z26" s="23">
        <f t="shared" si="20"/>
        <v>1.7566264497877127</v>
      </c>
      <c r="AA26" s="214">
        <f>ERF(AH26)+ERF(AI26)-1</f>
        <v>0.6918334798369115</v>
      </c>
      <c r="AB26" s="52">
        <f t="shared" si="21"/>
        <v>6.5</v>
      </c>
      <c r="AC26" s="143">
        <f t="shared" si="28"/>
        <v>0.55</v>
      </c>
      <c r="AD26" s="144">
        <f t="shared" si="32"/>
        <v>7.9</v>
      </c>
      <c r="AE26" s="208">
        <f t="shared" si="29"/>
        <v>0</v>
      </c>
      <c r="AF26" s="162">
        <f t="shared" si="22"/>
        <v>1.0998289232410454</v>
      </c>
      <c r="AG26" s="186">
        <f>IF(ABS(AF26)&lt;10,SIGN(AF26)*ERF(ABS(AF26)),SIGN(AF26))</f>
        <v>0.8801474662228711</v>
      </c>
      <c r="AH26" s="202">
        <f t="shared" si="23"/>
        <v>1.4053369574746692</v>
      </c>
      <c r="AI26" s="202">
        <f t="shared" si="24"/>
        <v>0.7943208890074218</v>
      </c>
    </row>
    <row r="27" spans="1:35" s="26" customFormat="1" ht="15" customHeight="1">
      <c r="A27" s="253">
        <f t="shared" si="30"/>
        <v>0.44000000000000017</v>
      </c>
      <c r="B27" s="49">
        <f t="shared" si="0"/>
        <v>-141.06413749999996</v>
      </c>
      <c r="C27" s="135">
        <f t="shared" si="1"/>
        <v>0.0385</v>
      </c>
      <c r="D27" s="150">
        <f t="shared" si="2"/>
        <v>6025.627657082315</v>
      </c>
      <c r="E27" s="150">
        <f t="shared" si="3"/>
        <v>4545.454545454544</v>
      </c>
      <c r="F27" s="108">
        <f t="shared" si="25"/>
        <v>201.34615954020384</v>
      </c>
      <c r="G27" s="108">
        <f t="shared" si="4"/>
        <v>240.53863714918901</v>
      </c>
      <c r="H27" s="50">
        <f t="shared" si="5"/>
        <v>1.248716074491209</v>
      </c>
      <c r="I27" s="49">
        <f t="shared" si="6"/>
        <v>1.8378823963082842</v>
      </c>
      <c r="J27" s="49">
        <f t="shared" si="7"/>
        <v>-0.30452220682812503</v>
      </c>
      <c r="K27" s="49">
        <f t="shared" si="8"/>
        <v>0.05009929859366014</v>
      </c>
      <c r="L27" s="49">
        <f t="shared" si="9"/>
        <v>0.2882000196368294</v>
      </c>
      <c r="M27" s="49">
        <f t="shared" si="26"/>
        <v>0.001396864985942375</v>
      </c>
      <c r="N27" s="49">
        <f t="shared" si="27"/>
        <v>0.15565250942326952</v>
      </c>
      <c r="O27" s="49">
        <f t="shared" si="10"/>
        <v>0.023024657547536076</v>
      </c>
      <c r="P27" s="49">
        <f t="shared" si="11"/>
        <v>0</v>
      </c>
      <c r="Q27" s="49">
        <f t="shared" si="12"/>
        <v>0.3</v>
      </c>
      <c r="R27" s="206">
        <f t="shared" si="13"/>
        <v>0.41171123528840714</v>
      </c>
      <c r="S27" s="53">
        <f t="shared" si="14"/>
        <v>4.265186892695535</v>
      </c>
      <c r="T27" s="49">
        <f t="shared" si="15"/>
        <v>3.3378823963082844</v>
      </c>
      <c r="U27" s="49">
        <f t="shared" si="16"/>
        <v>2.4273044963872508</v>
      </c>
      <c r="V27" s="54">
        <f t="shared" si="17"/>
        <v>2.234813107304465</v>
      </c>
      <c r="W27" s="99">
        <f t="shared" si="18"/>
        <v>-9.249593631596692</v>
      </c>
      <c r="X27" s="25">
        <f t="shared" si="31"/>
        <v>-0.2011304790118782</v>
      </c>
      <c r="Y27" s="23">
        <f t="shared" si="19"/>
        <v>1.7566264497877127</v>
      </c>
      <c r="Z27" s="23">
        <f t="shared" si="20"/>
        <v>1.7566264497877127</v>
      </c>
      <c r="AA27" s="214">
        <f>ERF(AH27)+ERF(AI27)-1</f>
        <v>0.682271560971528</v>
      </c>
      <c r="AB27" s="52">
        <f t="shared" si="21"/>
        <v>6.5</v>
      </c>
      <c r="AC27" s="143">
        <f t="shared" si="28"/>
        <v>0.55</v>
      </c>
      <c r="AD27" s="144">
        <f t="shared" si="32"/>
        <v>7.9</v>
      </c>
      <c r="AE27" s="208">
        <f t="shared" si="29"/>
        <v>0</v>
      </c>
      <c r="AF27" s="162">
        <f t="shared" si="22"/>
        <v>1.0849538229661553</v>
      </c>
      <c r="AG27" s="186">
        <f>IF(ABS(AF27)&lt;10,SIGN(AF27)*ERF(ABS(AF27)),SIGN(AF27))</f>
        <v>0.8750579684554557</v>
      </c>
      <c r="AH27" s="202">
        <f t="shared" si="23"/>
        <v>1.3863298849011982</v>
      </c>
      <c r="AI27" s="202">
        <f t="shared" si="24"/>
        <v>0.7835777610311122</v>
      </c>
    </row>
    <row r="28" spans="1:35" s="26" customFormat="1" ht="15" customHeight="1">
      <c r="A28" s="253">
        <f t="shared" si="30"/>
        <v>0.4600000000000002</v>
      </c>
      <c r="B28" s="49">
        <f t="shared" si="0"/>
        <v>-141.06413749999996</v>
      </c>
      <c r="C28" s="135">
        <f t="shared" si="1"/>
        <v>0.0385</v>
      </c>
      <c r="D28" s="150">
        <f t="shared" si="2"/>
        <v>5763.643845904822</v>
      </c>
      <c r="E28" s="150">
        <f t="shared" si="3"/>
        <v>4347.82608695652</v>
      </c>
      <c r="F28" s="108">
        <f t="shared" si="25"/>
        <v>205.34621129986314</v>
      </c>
      <c r="G28" s="108">
        <f t="shared" si="4"/>
        <v>243.89675376111106</v>
      </c>
      <c r="H28" s="50">
        <f t="shared" si="5"/>
        <v>1.3102796418369298</v>
      </c>
      <c r="I28" s="49">
        <f t="shared" si="6"/>
        <v>1.921422505231388</v>
      </c>
      <c r="J28" s="49">
        <f t="shared" si="7"/>
        <v>-0.3183641253203125</v>
      </c>
      <c r="K28" s="49">
        <f t="shared" si="8"/>
        <v>0.05452554335612374</v>
      </c>
      <c r="L28" s="49">
        <f t="shared" si="9"/>
        <v>0.3458221261637977</v>
      </c>
      <c r="M28" s="49">
        <f t="shared" si="26"/>
        <v>0.0013776321120251608</v>
      </c>
      <c r="N28" s="49">
        <f t="shared" si="27"/>
        <v>0.1534318496820156</v>
      </c>
      <c r="O28" s="49">
        <f t="shared" si="10"/>
        <v>0.027621534509863405</v>
      </c>
      <c r="P28" s="49">
        <f t="shared" si="11"/>
        <v>0</v>
      </c>
      <c r="Q28" s="49">
        <f t="shared" si="12"/>
        <v>0.3</v>
      </c>
      <c r="R28" s="206">
        <f t="shared" si="13"/>
        <v>0.4134992307071508</v>
      </c>
      <c r="S28" s="53">
        <f t="shared" si="14"/>
        <v>4.472076888131146</v>
      </c>
      <c r="T28" s="49">
        <f t="shared" si="15"/>
        <v>3.421422505231388</v>
      </c>
      <c r="U28" s="49">
        <f t="shared" si="16"/>
        <v>2.550654382899758</v>
      </c>
      <c r="V28" s="54">
        <f t="shared" si="17"/>
        <v>2.027923111868854</v>
      </c>
      <c r="W28" s="99">
        <f t="shared" si="18"/>
        <v>-9.334921735938538</v>
      </c>
      <c r="X28" s="25">
        <f t="shared" si="31"/>
        <v>-0.21326670522317404</v>
      </c>
      <c r="Y28" s="23">
        <f t="shared" si="19"/>
        <v>1.7566264497877127</v>
      </c>
      <c r="Z28" s="23">
        <f t="shared" si="20"/>
        <v>1.7566264497877127</v>
      </c>
      <c r="AA28" s="214">
        <f>ERF(AH28)+ERF(AI28)-1</f>
        <v>0.6723913421619767</v>
      </c>
      <c r="AB28" s="52">
        <f t="shared" si="21"/>
        <v>6.5</v>
      </c>
      <c r="AC28" s="143">
        <f t="shared" si="28"/>
        <v>0.55</v>
      </c>
      <c r="AD28" s="144">
        <f t="shared" si="32"/>
        <v>7.9</v>
      </c>
      <c r="AE28" s="208">
        <f t="shared" si="29"/>
        <v>0</v>
      </c>
      <c r="AF28" s="162">
        <f t="shared" si="22"/>
        <v>1.0700155287909094</v>
      </c>
      <c r="AG28" s="186">
        <f>IF(ABS(AF28)&lt;10,SIGN(AF28)*ERF(ABS(AF28)),SIGN(AF28))</f>
        <v>0.8697788267362384</v>
      </c>
      <c r="AH28" s="202">
        <f t="shared" si="23"/>
        <v>1.3672420645661618</v>
      </c>
      <c r="AI28" s="202">
        <f t="shared" si="24"/>
        <v>0.7727889930156568</v>
      </c>
    </row>
    <row r="29" spans="1:35" s="26" customFormat="1" ht="15" customHeight="1">
      <c r="A29" s="253">
        <f t="shared" si="30"/>
        <v>0.4800000000000002</v>
      </c>
      <c r="B29" s="49">
        <f t="shared" si="0"/>
        <v>-141.06413749999996</v>
      </c>
      <c r="C29" s="135">
        <f t="shared" si="1"/>
        <v>0.0385</v>
      </c>
      <c r="D29" s="150">
        <f t="shared" si="2"/>
        <v>5523.492018992121</v>
      </c>
      <c r="E29" s="150">
        <f t="shared" si="3"/>
        <v>4166.666666666665</v>
      </c>
      <c r="F29" s="108">
        <f t="shared" si="25"/>
        <v>209.44249528288438</v>
      </c>
      <c r="G29" s="108">
        <f t="shared" si="4"/>
        <v>247.3554503752061</v>
      </c>
      <c r="H29" s="50">
        <f t="shared" si="5"/>
        <v>1.3748753639540068</v>
      </c>
      <c r="I29" s="49">
        <f t="shared" si="6"/>
        <v>2.0049626141544916</v>
      </c>
      <c r="J29" s="49">
        <f t="shared" si="7"/>
        <v>-0.3322060438125</v>
      </c>
      <c r="K29" s="49">
        <f t="shared" si="8"/>
        <v>0.059107945719018284</v>
      </c>
      <c r="L29" s="49">
        <f t="shared" si="9"/>
        <v>0.4124941359856068</v>
      </c>
      <c r="M29" s="49">
        <f t="shared" si="26"/>
        <v>0.0013583690979532962</v>
      </c>
      <c r="N29" s="49">
        <f t="shared" si="27"/>
        <v>0.15120998388278148</v>
      </c>
      <c r="O29" s="49">
        <f t="shared" si="10"/>
        <v>0.03301047197546639</v>
      </c>
      <c r="P29" s="49">
        <f t="shared" si="11"/>
        <v>0</v>
      </c>
      <c r="Q29" s="49">
        <f t="shared" si="12"/>
        <v>0.3</v>
      </c>
      <c r="R29" s="206">
        <f t="shared" si="13"/>
        <v>0.4151677331895294</v>
      </c>
      <c r="S29" s="53">
        <f t="shared" si="14"/>
        <v>4.691720303141883</v>
      </c>
      <c r="T29" s="49">
        <f t="shared" si="15"/>
        <v>3.5049626141544916</v>
      </c>
      <c r="U29" s="49">
        <f t="shared" si="16"/>
        <v>2.6867576889873916</v>
      </c>
      <c r="V29" s="54">
        <f t="shared" si="17"/>
        <v>1.8082796968581167</v>
      </c>
      <c r="W29" s="99">
        <f t="shared" si="18"/>
        <v>-9.42013034734402</v>
      </c>
      <c r="X29" s="25">
        <f t="shared" si="31"/>
        <v>-0.22675731755956807</v>
      </c>
      <c r="Y29" s="23">
        <f t="shared" si="19"/>
        <v>1.7566264497877127</v>
      </c>
      <c r="Z29" s="23">
        <f t="shared" si="20"/>
        <v>1.7566264497877127</v>
      </c>
      <c r="AA29" s="214">
        <f>ERF(AH29)+ERF(AI29)-1</f>
        <v>0.6622099322394719</v>
      </c>
      <c r="AB29" s="52">
        <f t="shared" si="21"/>
        <v>6.5</v>
      </c>
      <c r="AC29" s="143">
        <f t="shared" si="28"/>
        <v>0.55</v>
      </c>
      <c r="AD29" s="144">
        <f t="shared" si="32"/>
        <v>7.9</v>
      </c>
      <c r="AE29" s="208">
        <f t="shared" si="29"/>
        <v>0</v>
      </c>
      <c r="AF29" s="162">
        <f t="shared" si="22"/>
        <v>1.0550538245679197</v>
      </c>
      <c r="AG29" s="186">
        <f>IF(ABS(AF29)&lt;10,SIGN(AF29)*ERF(ABS(AF29)),SIGN(AF29))</f>
        <v>0.8643195425346789</v>
      </c>
      <c r="AH29" s="202">
        <f t="shared" si="23"/>
        <v>1.348124331392342</v>
      </c>
      <c r="AI29" s="202">
        <f t="shared" si="24"/>
        <v>0.7619833177434976</v>
      </c>
    </row>
    <row r="30" spans="1:35" s="20" customFormat="1" ht="15" customHeight="1">
      <c r="A30" s="252">
        <f t="shared" si="30"/>
        <v>0.5000000000000002</v>
      </c>
      <c r="B30" s="97">
        <f t="shared" si="0"/>
        <v>-141.06413749999996</v>
      </c>
      <c r="C30" s="134">
        <f t="shared" si="1"/>
        <v>0.0385</v>
      </c>
      <c r="D30" s="149">
        <f t="shared" si="2"/>
        <v>5302.552338232436</v>
      </c>
      <c r="E30" s="149">
        <f t="shared" si="3"/>
        <v>3999.999999999998</v>
      </c>
      <c r="F30" s="107">
        <f t="shared" si="25"/>
        <v>213.62947588506654</v>
      </c>
      <c r="G30" s="107">
        <f t="shared" si="4"/>
        <v>250.91056766690443</v>
      </c>
      <c r="H30" s="100">
        <f t="shared" si="5"/>
        <v>1.4425069559674566</v>
      </c>
      <c r="I30" s="97">
        <f t="shared" si="6"/>
        <v>2.0885027230775957</v>
      </c>
      <c r="J30" s="97">
        <f t="shared" si="7"/>
        <v>-0.34604796230468754</v>
      </c>
      <c r="K30" s="97">
        <f t="shared" si="8"/>
        <v>0.06384161025607239</v>
      </c>
      <c r="L30" s="97">
        <f t="shared" si="9"/>
        <v>0.48951926452157</v>
      </c>
      <c r="M30" s="97">
        <f t="shared" si="26"/>
        <v>0.0013391225532041191</v>
      </c>
      <c r="N30" s="97">
        <f t="shared" si="27"/>
        <v>0.14899228590948005</v>
      </c>
      <c r="O30" s="97">
        <f t="shared" si="10"/>
        <v>0.03935175009280162</v>
      </c>
      <c r="P30" s="97">
        <f t="shared" si="11"/>
        <v>0</v>
      </c>
      <c r="Q30" s="97">
        <f t="shared" si="12"/>
        <v>0.3</v>
      </c>
      <c r="R30" s="205">
        <f t="shared" si="13"/>
        <v>0.41671854368137784</v>
      </c>
      <c r="S30" s="98">
        <f t="shared" si="14"/>
        <v>4.925591523250282</v>
      </c>
      <c r="T30" s="97">
        <f t="shared" si="15"/>
        <v>3.5885027230775957</v>
      </c>
      <c r="U30" s="97">
        <f t="shared" si="16"/>
        <v>2.8370888001726864</v>
      </c>
      <c r="V30" s="102">
        <f t="shared" si="17"/>
        <v>1.574408476749718</v>
      </c>
      <c r="W30" s="103">
        <f t="shared" si="18"/>
        <v>-9.505221266758975</v>
      </c>
      <c r="X30" s="27">
        <f t="shared" si="31"/>
        <v>-0.24188032738092158</v>
      </c>
      <c r="Y30" s="18">
        <f t="shared" si="19"/>
        <v>1.7566264497877127</v>
      </c>
      <c r="Z30" s="18">
        <f t="shared" si="20"/>
        <v>1.7566264497877127</v>
      </c>
      <c r="AA30" s="216">
        <f>ERF(AH30)+ERF(AI30)-1</f>
        <v>0.651744612766223</v>
      </c>
      <c r="AB30" s="101">
        <f t="shared" si="21"/>
        <v>6.5</v>
      </c>
      <c r="AC30" s="192">
        <f t="shared" si="28"/>
        <v>0.55</v>
      </c>
      <c r="AD30" s="193">
        <f t="shared" si="32"/>
        <v>7.9</v>
      </c>
      <c r="AE30" s="207">
        <f t="shared" si="29"/>
        <v>0</v>
      </c>
      <c r="AF30" s="161">
        <f t="shared" si="22"/>
        <v>1.0401049121714785</v>
      </c>
      <c r="AG30" s="185">
        <f>IF(ABS(AF30)&lt;10,SIGN(AF30)*ERF(ABS(AF30)),SIGN(AF30))</f>
        <v>0.8586900327797609</v>
      </c>
      <c r="AH30" s="200">
        <f t="shared" si="23"/>
        <v>1.3290229433302225</v>
      </c>
      <c r="AI30" s="200">
        <f t="shared" si="24"/>
        <v>0.7511868810127346</v>
      </c>
    </row>
    <row r="31" spans="1:35" s="26" customFormat="1" ht="15" customHeight="1">
      <c r="A31" s="253">
        <f t="shared" si="30"/>
        <v>0.5200000000000002</v>
      </c>
      <c r="B31" s="49">
        <f t="shared" si="0"/>
        <v>-141.06413749999996</v>
      </c>
      <c r="C31" s="135">
        <f t="shared" si="1"/>
        <v>0.0385</v>
      </c>
      <c r="D31" s="150">
        <f t="shared" si="2"/>
        <v>5098.608017531189</v>
      </c>
      <c r="E31" s="150">
        <f t="shared" si="3"/>
        <v>3846.1538461538444</v>
      </c>
      <c r="F31" s="108">
        <f t="shared" si="25"/>
        <v>217.90192496861877</v>
      </c>
      <c r="G31" s="108">
        <f t="shared" si="4"/>
        <v>254.55806588090968</v>
      </c>
      <c r="H31" s="50">
        <f t="shared" si="5"/>
        <v>1.5131752177983842</v>
      </c>
      <c r="I31" s="49">
        <f t="shared" si="6"/>
        <v>2.1720428320006997</v>
      </c>
      <c r="J31" s="49">
        <f t="shared" si="7"/>
        <v>-0.35988988079687506</v>
      </c>
      <c r="K31" s="49">
        <f t="shared" si="8"/>
        <v>0.0687215132982498</v>
      </c>
      <c r="L31" s="49">
        <f t="shared" si="9"/>
        <v>0.5784663118401332</v>
      </c>
      <c r="M31" s="49">
        <f t="shared" si="26"/>
        <v>0.0013199346044575598</v>
      </c>
      <c r="N31" s="49">
        <f t="shared" si="27"/>
        <v>0.1467835919852611</v>
      </c>
      <c r="O31" s="49">
        <f t="shared" si="10"/>
        <v>0.046856469808870066</v>
      </c>
      <c r="P31" s="49">
        <f t="shared" si="11"/>
        <v>0</v>
      </c>
      <c r="Q31" s="49">
        <f t="shared" si="12"/>
        <v>0.3</v>
      </c>
      <c r="R31" s="206">
        <f t="shared" si="13"/>
        <v>0.41815653447037926</v>
      </c>
      <c r="S31" s="53">
        <f t="shared" si="14"/>
        <v>5.175480957903726</v>
      </c>
      <c r="T31" s="49">
        <f t="shared" si="15"/>
        <v>3.6720428320006997</v>
      </c>
      <c r="U31" s="49">
        <f t="shared" si="16"/>
        <v>3.0034381259030267</v>
      </c>
      <c r="V31" s="54">
        <f t="shared" si="17"/>
        <v>1.3245190420962736</v>
      </c>
      <c r="W31" s="99">
        <f t="shared" si="18"/>
        <v>-9.590199366471078</v>
      </c>
      <c r="X31" s="25">
        <f t="shared" si="31"/>
        <v>-0.25900656987047777</v>
      </c>
      <c r="Y31" s="23">
        <f t="shared" si="19"/>
        <v>1.7566264497877127</v>
      </c>
      <c r="Z31" s="23">
        <f t="shared" si="20"/>
        <v>1.7566264497877127</v>
      </c>
      <c r="AA31" s="214">
        <f>ERF(AH31)+ERF(AI31)-1</f>
        <v>0.641012981549002</v>
      </c>
      <c r="AB31" s="52">
        <f t="shared" si="21"/>
        <v>6.5</v>
      </c>
      <c r="AC31" s="143">
        <f t="shared" si="28"/>
        <v>0.55</v>
      </c>
      <c r="AD31" s="144">
        <f t="shared" si="32"/>
        <v>7.9</v>
      </c>
      <c r="AE31" s="208">
        <f t="shared" si="29"/>
        <v>0</v>
      </c>
      <c r="AF31" s="162">
        <f t="shared" si="22"/>
        <v>1.0252015116589275</v>
      </c>
      <c r="AG31" s="186">
        <f>IF(ABS(AF31)&lt;10,SIGN(AF31)*ERF(ABS(AF31)),SIGN(AF31))</f>
        <v>0.8529006697278714</v>
      </c>
      <c r="AH31" s="202">
        <f t="shared" si="23"/>
        <v>1.309979709341963</v>
      </c>
      <c r="AI31" s="202">
        <f t="shared" si="24"/>
        <v>0.7404233139758921</v>
      </c>
    </row>
    <row r="32" spans="1:35" s="26" customFormat="1" ht="15" customHeight="1">
      <c r="A32" s="253">
        <f t="shared" si="30"/>
        <v>0.5400000000000003</v>
      </c>
      <c r="B32" s="49">
        <f t="shared" si="0"/>
        <v>-141.06413749999996</v>
      </c>
      <c r="C32" s="135">
        <f t="shared" si="1"/>
        <v>0.0385</v>
      </c>
      <c r="D32" s="150">
        <f t="shared" si="2"/>
        <v>4909.770683548552</v>
      </c>
      <c r="E32" s="150">
        <f t="shared" si="3"/>
        <v>3703.703703703702</v>
      </c>
      <c r="F32" s="108">
        <f t="shared" si="25"/>
        <v>222.25491365687526</v>
      </c>
      <c r="G32" s="108">
        <f t="shared" si="4"/>
        <v>258.29403137630777</v>
      </c>
      <c r="H32" s="50">
        <f t="shared" si="5"/>
        <v>1.5868791328251146</v>
      </c>
      <c r="I32" s="49">
        <f t="shared" si="6"/>
        <v>2.2555829409238033</v>
      </c>
      <c r="J32" s="49">
        <f t="shared" si="7"/>
        <v>-0.3737317992890625</v>
      </c>
      <c r="K32" s="49">
        <f t="shared" si="8"/>
        <v>0.07374251179394686</v>
      </c>
      <c r="L32" s="49">
        <f t="shared" si="9"/>
        <v>0.6812576615807322</v>
      </c>
      <c r="M32" s="49">
        <f t="shared" si="26"/>
        <v>0.0013008430671418907</v>
      </c>
      <c r="N32" s="49">
        <f t="shared" si="27"/>
        <v>0.14458822321784778</v>
      </c>
      <c r="O32" s="49">
        <f t="shared" si="10"/>
        <v>0.05580889097693911</v>
      </c>
      <c r="P32" s="49">
        <f t="shared" si="11"/>
        <v>0</v>
      </c>
      <c r="Q32" s="49">
        <f t="shared" si="12"/>
        <v>0.3</v>
      </c>
      <c r="R32" s="206">
        <f t="shared" si="13"/>
        <v>0.41948781346680075</v>
      </c>
      <c r="S32" s="53">
        <f t="shared" si="14"/>
        <v>5.443604662991238</v>
      </c>
      <c r="T32" s="49">
        <f t="shared" si="15"/>
        <v>3.7555829409238033</v>
      </c>
      <c r="U32" s="49">
        <f t="shared" si="16"/>
        <v>3.1880217220674343</v>
      </c>
      <c r="V32" s="54">
        <f t="shared" si="17"/>
        <v>1.0563953370087624</v>
      </c>
      <c r="W32" s="99">
        <f t="shared" si="18"/>
        <v>-9.675070754390603</v>
      </c>
      <c r="X32" s="25">
        <f t="shared" si="31"/>
        <v>-0.2786443052377887</v>
      </c>
      <c r="Y32" s="23">
        <f t="shared" si="19"/>
        <v>1.7566264497877127</v>
      </c>
      <c r="Z32" s="23">
        <f t="shared" si="20"/>
        <v>1.7566264497877127</v>
      </c>
      <c r="AA32" s="214">
        <f>ERF(AH32)+ERF(AI32)-1</f>
        <v>0.6300330112493886</v>
      </c>
      <c r="AB32" s="52">
        <f t="shared" si="21"/>
        <v>6.5</v>
      </c>
      <c r="AC32" s="143">
        <f t="shared" si="28"/>
        <v>0.55</v>
      </c>
      <c r="AD32" s="144">
        <f t="shared" si="32"/>
        <v>7.9</v>
      </c>
      <c r="AE32" s="208">
        <f t="shared" si="29"/>
        <v>0</v>
      </c>
      <c r="AF32" s="162">
        <f t="shared" si="22"/>
        <v>1.010372994511322</v>
      </c>
      <c r="AG32" s="186">
        <f>IF(ABS(AF32)&lt;10,SIGN(AF32)*ERF(ABS(AF32)),SIGN(AF32))</f>
        <v>0.8469621425999584</v>
      </c>
      <c r="AH32" s="202">
        <f t="shared" si="23"/>
        <v>1.2910321596533558</v>
      </c>
      <c r="AI32" s="202">
        <f t="shared" si="24"/>
        <v>0.7297138293692882</v>
      </c>
    </row>
    <row r="33" spans="1:35" s="26" customFormat="1" ht="15" customHeight="1">
      <c r="A33" s="253">
        <f t="shared" si="30"/>
        <v>0.5600000000000003</v>
      </c>
      <c r="B33" s="49">
        <f t="shared" si="0"/>
        <v>-141.06413749999996</v>
      </c>
      <c r="C33" s="135">
        <f t="shared" si="1"/>
        <v>0.0385</v>
      </c>
      <c r="D33" s="150">
        <f t="shared" si="2"/>
        <v>4734.421730564675</v>
      </c>
      <c r="E33" s="150">
        <f t="shared" si="3"/>
        <v>3571.4285714285697</v>
      </c>
      <c r="F33" s="108">
        <f t="shared" si="25"/>
        <v>226.68380221293882</v>
      </c>
      <c r="G33" s="108">
        <f t="shared" si="4"/>
        <v>262.1146813624044</v>
      </c>
      <c r="H33" s="50">
        <f t="shared" si="5"/>
        <v>1.663617562660158</v>
      </c>
      <c r="I33" s="49">
        <f t="shared" si="6"/>
        <v>2.3391230498469073</v>
      </c>
      <c r="J33" s="49">
        <f t="shared" si="7"/>
        <v>-0.38757371778125005</v>
      </c>
      <c r="K33" s="49">
        <f t="shared" si="8"/>
        <v>0.07889935231229125</v>
      </c>
      <c r="L33" s="49">
        <f t="shared" si="9"/>
        <v>0.8002962566115943</v>
      </c>
      <c r="M33" s="49">
        <f t="shared" si="26"/>
        <v>0.0012818816491070198</v>
      </c>
      <c r="N33" s="49">
        <f t="shared" si="27"/>
        <v>0.1424100117708395</v>
      </c>
      <c r="O33" s="49">
        <f t="shared" si="10"/>
        <v>0.06660145278214508</v>
      </c>
      <c r="P33" s="49">
        <f t="shared" si="11"/>
        <v>0</v>
      </c>
      <c r="Q33" s="49">
        <f t="shared" si="12"/>
        <v>0.3</v>
      </c>
      <c r="R33" s="206">
        <f t="shared" si="13"/>
        <v>0.4207212347076603</v>
      </c>
      <c r="S33" s="53">
        <f t="shared" si="14"/>
        <v>5.732769568379304</v>
      </c>
      <c r="T33" s="49">
        <f t="shared" si="15"/>
        <v>3.8391230498469073</v>
      </c>
      <c r="U33" s="49">
        <f t="shared" si="16"/>
        <v>3.3936465185323965</v>
      </c>
      <c r="V33" s="54">
        <f t="shared" si="17"/>
        <v>0.7672304316206962</v>
      </c>
      <c r="W33" s="99">
        <f t="shared" si="18"/>
        <v>-9.759844284554568</v>
      </c>
      <c r="X33" s="25">
        <f t="shared" si="31"/>
        <v>-0.3015057187020749</v>
      </c>
      <c r="Y33" s="23">
        <f t="shared" si="19"/>
        <v>1.7566264497877127</v>
      </c>
      <c r="Z33" s="23">
        <f t="shared" si="20"/>
        <v>1.7566264497877127</v>
      </c>
      <c r="AA33" s="214">
        <f>ERF(AH33)+ERF(AI33)-1</f>
        <v>0.6188225345855618</v>
      </c>
      <c r="AB33" s="52">
        <f t="shared" si="21"/>
        <v>6.5</v>
      </c>
      <c r="AC33" s="143">
        <f t="shared" si="28"/>
        <v>0.55</v>
      </c>
      <c r="AD33" s="144">
        <f t="shared" si="32"/>
        <v>7.9</v>
      </c>
      <c r="AE33" s="208">
        <f t="shared" si="29"/>
        <v>0</v>
      </c>
      <c r="AF33" s="162">
        <f t="shared" si="22"/>
        <v>0.9956455418277589</v>
      </c>
      <c r="AG33" s="186">
        <f>IF(ABS(AF33)&lt;10,SIGN(AF33)*ERF(ABS(AF33)),SIGN(AF33))</f>
        <v>0.840885280002148</v>
      </c>
      <c r="AH33" s="202">
        <f t="shared" si="23"/>
        <v>1.2722137478910251</v>
      </c>
      <c r="AI33" s="202">
        <f t="shared" si="24"/>
        <v>0.7190773357644925</v>
      </c>
    </row>
    <row r="34" spans="1:35" s="26" customFormat="1" ht="15" customHeight="1">
      <c r="A34" s="253">
        <f t="shared" si="30"/>
        <v>0.5800000000000003</v>
      </c>
      <c r="B34" s="49">
        <f t="shared" si="0"/>
        <v>-141.06413749999996</v>
      </c>
      <c r="C34" s="135">
        <f t="shared" si="1"/>
        <v>0.0385</v>
      </c>
      <c r="D34" s="150">
        <f t="shared" si="2"/>
        <v>4571.165808821065</v>
      </c>
      <c r="E34" s="150">
        <f t="shared" si="3"/>
        <v>3448.2758620689638</v>
      </c>
      <c r="F34" s="108">
        <f t="shared" si="25"/>
        <v>231.18422854576093</v>
      </c>
      <c r="G34" s="108">
        <f t="shared" si="4"/>
        <v>266.0163670308626</v>
      </c>
      <c r="H34" s="50">
        <f t="shared" si="5"/>
        <v>1.743387946480255</v>
      </c>
      <c r="I34" s="49">
        <f t="shared" si="6"/>
        <v>2.4226631587700114</v>
      </c>
      <c r="J34" s="49">
        <f t="shared" si="7"/>
        <v>-0.40141563627343757</v>
      </c>
      <c r="K34" s="49">
        <f t="shared" si="8"/>
        <v>0.08418668016756095</v>
      </c>
      <c r="L34" s="49">
        <f t="shared" si="9"/>
        <v>0.938654171253741</v>
      </c>
      <c r="M34" s="49">
        <f t="shared" si="26"/>
        <v>0.0012630801771720236</v>
      </c>
      <c r="N34" s="49">
        <f t="shared" si="27"/>
        <v>0.1402523295415795</v>
      </c>
      <c r="O34" s="49">
        <f t="shared" si="10"/>
        <v>0.07979179843188922</v>
      </c>
      <c r="P34" s="49">
        <f t="shared" si="11"/>
        <v>0</v>
      </c>
      <c r="Q34" s="49">
        <f t="shared" si="12"/>
        <v>0.3</v>
      </c>
      <c r="R34" s="206">
        <f t="shared" si="13"/>
        <v>0.42186669591791115</v>
      </c>
      <c r="S34" s="53">
        <f t="shared" si="14"/>
        <v>6.046616100395387</v>
      </c>
      <c r="T34" s="49">
        <f t="shared" si="15"/>
        <v>3.9226631587700114</v>
      </c>
      <c r="U34" s="49">
        <f t="shared" si="16"/>
        <v>3.623952941625376</v>
      </c>
      <c r="V34" s="54">
        <f t="shared" si="17"/>
        <v>0.4533838996046127</v>
      </c>
      <c r="W34" s="99">
        <f t="shared" si="18"/>
        <v>-9.844529854687922</v>
      </c>
      <c r="X34" s="25">
        <f t="shared" si="31"/>
        <v>-0.3286184689850473</v>
      </c>
      <c r="Y34" s="23">
        <f t="shared" si="19"/>
        <v>1.7566264497877127</v>
      </c>
      <c r="Z34" s="23">
        <f t="shared" si="20"/>
        <v>1.7566264497877127</v>
      </c>
      <c r="AA34" s="214">
        <f>ERF(AH34)+ERF(AI34)-1</f>
        <v>0.6073996478042363</v>
      </c>
      <c r="AB34" s="52">
        <f t="shared" si="21"/>
        <v>6.5</v>
      </c>
      <c r="AC34" s="143">
        <f t="shared" si="28"/>
        <v>0.55</v>
      </c>
      <c r="AD34" s="144">
        <f t="shared" si="32"/>
        <v>7.9</v>
      </c>
      <c r="AE34" s="208">
        <f t="shared" si="29"/>
        <v>0</v>
      </c>
      <c r="AF34" s="162">
        <f t="shared" si="22"/>
        <v>0.9810423202862698</v>
      </c>
      <c r="AG34" s="186">
        <f>IF(ABS(AF34)&lt;10,SIGN(AF34)*ERF(ABS(AF34)),SIGN(AF34))</f>
        <v>0.8346811169320049</v>
      </c>
      <c r="AH34" s="202">
        <f t="shared" si="23"/>
        <v>1.2535540759213446</v>
      </c>
      <c r="AI34" s="202">
        <f t="shared" si="24"/>
        <v>0.7085305646511949</v>
      </c>
    </row>
    <row r="35" spans="1:35" s="79" customFormat="1" ht="15" customHeight="1">
      <c r="A35" s="254">
        <f t="shared" si="30"/>
        <v>0.6000000000000003</v>
      </c>
      <c r="B35" s="74">
        <f t="shared" si="0"/>
        <v>-141.06413749999996</v>
      </c>
      <c r="C35" s="136">
        <f t="shared" si="1"/>
        <v>0.0385</v>
      </c>
      <c r="D35" s="151">
        <f t="shared" si="2"/>
        <v>4418.7936151936965</v>
      </c>
      <c r="E35" s="151">
        <f t="shared" si="3"/>
        <v>3333.3333333333317</v>
      </c>
      <c r="F35" s="109">
        <f t="shared" si="25"/>
        <v>235.75209579636115</v>
      </c>
      <c r="G35" s="109">
        <f t="shared" si="4"/>
        <v>269.9955752829602</v>
      </c>
      <c r="H35" s="75">
        <f t="shared" si="5"/>
        <v>1.826187617083809</v>
      </c>
      <c r="I35" s="74">
        <f t="shared" si="6"/>
        <v>2.506203267693115</v>
      </c>
      <c r="J35" s="74">
        <f t="shared" si="7"/>
        <v>-0.41525755476562504</v>
      </c>
      <c r="K35" s="74">
        <f t="shared" si="8"/>
        <v>0.0895990486426358</v>
      </c>
      <c r="L35" s="74">
        <f t="shared" si="9"/>
        <v>1.1003624278450959</v>
      </c>
      <c r="M35" s="74">
        <f t="shared" si="26"/>
        <v>0.0012444648385362092</v>
      </c>
      <c r="N35" s="74">
        <f t="shared" si="27"/>
        <v>0.13811811838435611</v>
      </c>
      <c r="O35" s="74">
        <f t="shared" si="10"/>
        <v>0.09619987984663231</v>
      </c>
      <c r="P35" s="74">
        <f t="shared" si="11"/>
        <v>0</v>
      </c>
      <c r="Q35" s="74">
        <f t="shared" si="12"/>
        <v>0.3</v>
      </c>
      <c r="R35" s="204">
        <f t="shared" si="13"/>
        <v>0.42293519549639047</v>
      </c>
      <c r="S35" s="77">
        <f t="shared" si="14"/>
        <v>6.3900065063493985</v>
      </c>
      <c r="T35" s="74">
        <f t="shared" si="15"/>
        <v>4.006203267693115</v>
      </c>
      <c r="U35" s="74">
        <f t="shared" si="16"/>
        <v>3.8838032386562835</v>
      </c>
      <c r="V35" s="102">
        <f t="shared" si="17"/>
        <v>0.10999349365060151</v>
      </c>
      <c r="W35" s="104">
        <f t="shared" si="18"/>
        <v>-9.929138463189506</v>
      </c>
      <c r="X35" s="78"/>
      <c r="Y35" s="74">
        <f t="shared" si="19"/>
        <v>1.7566264497877127</v>
      </c>
      <c r="Z35" s="74">
        <f t="shared" si="20"/>
        <v>1.7566264497877127</v>
      </c>
      <c r="AA35" s="163">
        <f>ERF(AH35)+ERF(AI35)-1</f>
        <v>0.595782467441025</v>
      </c>
      <c r="AB35" s="76">
        <f t="shared" si="21"/>
        <v>6.5</v>
      </c>
      <c r="AC35" s="195">
        <f t="shared" si="28"/>
        <v>0.55</v>
      </c>
      <c r="AD35" s="196">
        <f>ROUNDUP(E9,0)-0.1</f>
        <v>7.9</v>
      </c>
      <c r="AE35" s="209">
        <f t="shared" si="29"/>
        <v>0</v>
      </c>
      <c r="AF35" s="163">
        <f t="shared" si="22"/>
        <v>0.9665836696493145</v>
      </c>
      <c r="AG35" s="188">
        <f>IF(ABS(AF35)&lt;10,SIGN(AF35)*ERF(ABS(AF35)),SIGN(AF35))</f>
        <v>0.8283607527764657</v>
      </c>
      <c r="AH35" s="199">
        <f t="shared" si="23"/>
        <v>1.2350791334407907</v>
      </c>
      <c r="AI35" s="199">
        <f t="shared" si="24"/>
        <v>0.6980882058578384</v>
      </c>
    </row>
    <row r="36" spans="1:31" ht="15" customHeight="1">
      <c r="A36" s="2"/>
      <c r="B36" s="1"/>
      <c r="C36" s="1"/>
      <c r="D36" s="8"/>
      <c r="E36" s="1"/>
      <c r="F36" s="1"/>
      <c r="G36" s="2"/>
      <c r="H36" s="4"/>
      <c r="I36" s="4"/>
      <c r="J36" s="4"/>
      <c r="K36" s="4"/>
      <c r="L36" s="1"/>
      <c r="M36" s="4"/>
      <c r="N36" s="4"/>
      <c r="O36" s="4"/>
      <c r="P36" s="4"/>
      <c r="Q36" s="4"/>
      <c r="R36" s="55"/>
      <c r="S36" s="13"/>
      <c r="U36" s="13"/>
      <c r="V36" s="13"/>
      <c r="W36" s="14"/>
      <c r="AA36" s="5"/>
      <c r="AB36" s="6"/>
      <c r="AE36" s="210">
        <f>SUM(AE15:AE35)</f>
        <v>0</v>
      </c>
    </row>
    <row r="37" spans="1:27" s="26" customFormat="1" ht="15" customHeight="1">
      <c r="A37" s="80" t="s">
        <v>69</v>
      </c>
      <c r="B37" s="22"/>
      <c r="C37" s="22"/>
      <c r="D37" s="21"/>
      <c r="E37" s="22"/>
      <c r="F37" s="22"/>
      <c r="G37" s="28"/>
      <c r="W37" s="31"/>
      <c r="X37" s="31"/>
      <c r="AA37" s="167"/>
    </row>
    <row r="38" spans="1:28" s="26" customFormat="1" ht="15" customHeight="1">
      <c r="A38" s="29" t="s">
        <v>120</v>
      </c>
      <c r="B38" s="22"/>
      <c r="C38" s="22"/>
      <c r="D38" s="21"/>
      <c r="E38" s="22"/>
      <c r="F38" s="22"/>
      <c r="G38" s="28"/>
      <c r="K38" s="23"/>
      <c r="L38" s="22"/>
      <c r="M38" s="23"/>
      <c r="N38" s="23"/>
      <c r="O38" s="23"/>
      <c r="P38" s="23"/>
      <c r="Q38" s="23"/>
      <c r="R38" s="59"/>
      <c r="S38" s="23"/>
      <c r="T38" s="30"/>
      <c r="U38" s="23"/>
      <c r="W38" s="31"/>
      <c r="X38" s="31"/>
      <c r="AA38" s="167"/>
      <c r="AB38" s="24"/>
    </row>
    <row r="39" spans="1:28" s="26" customFormat="1" ht="15" customHeight="1">
      <c r="A39" s="23"/>
      <c r="B39" s="168"/>
      <c r="C39" s="169"/>
      <c r="D39" s="169"/>
      <c r="E39" s="169"/>
      <c r="F39" s="169"/>
      <c r="G39" s="169"/>
      <c r="H39" s="169"/>
      <c r="I39" s="169"/>
      <c r="J39" s="169"/>
      <c r="K39" s="169"/>
      <c r="L39" s="22"/>
      <c r="M39" s="23"/>
      <c r="N39" s="23"/>
      <c r="O39" s="23"/>
      <c r="P39" s="23"/>
      <c r="Q39" s="23"/>
      <c r="R39" s="59"/>
      <c r="S39" s="23"/>
      <c r="T39" s="30"/>
      <c r="U39" s="23"/>
      <c r="W39" s="31"/>
      <c r="X39" s="31"/>
      <c r="AA39" s="167"/>
      <c r="AB39" s="24"/>
    </row>
    <row r="40" spans="1:28" s="26" customFormat="1" ht="15" customHeight="1">
      <c r="A40" s="29"/>
      <c r="B40" s="22"/>
      <c r="C40" s="22"/>
      <c r="D40" s="21"/>
      <c r="E40" s="22"/>
      <c r="F40" s="22"/>
      <c r="G40" s="28"/>
      <c r="H40" s="23"/>
      <c r="I40" s="23"/>
      <c r="J40" s="23"/>
      <c r="K40" s="23"/>
      <c r="L40" s="22"/>
      <c r="M40" s="23"/>
      <c r="N40" s="23"/>
      <c r="O40" s="23"/>
      <c r="P40" s="23"/>
      <c r="Q40" s="23"/>
      <c r="R40" s="59"/>
      <c r="S40" s="23"/>
      <c r="T40" s="30"/>
      <c r="U40" s="23"/>
      <c r="W40" s="31"/>
      <c r="X40" s="31"/>
      <c r="AA40" s="167"/>
      <c r="AB40" s="24"/>
    </row>
    <row r="41" spans="1:28" s="26" customFormat="1" ht="15" customHeight="1">
      <c r="A41" s="24"/>
      <c r="B41" s="22"/>
      <c r="C41" s="22"/>
      <c r="D41" s="21"/>
      <c r="E41" s="22"/>
      <c r="F41" s="22"/>
      <c r="G41" s="28"/>
      <c r="H41" s="23"/>
      <c r="I41" s="23"/>
      <c r="J41" s="23"/>
      <c r="K41" s="23"/>
      <c r="L41" s="22"/>
      <c r="M41" s="23"/>
      <c r="N41" s="23"/>
      <c r="O41" s="23"/>
      <c r="P41" s="23"/>
      <c r="Q41" s="23"/>
      <c r="R41" s="59"/>
      <c r="S41" s="23"/>
      <c r="T41" s="30"/>
      <c r="U41" s="23"/>
      <c r="W41" s="31"/>
      <c r="X41" s="31"/>
      <c r="AA41" s="167"/>
      <c r="AB41" s="24"/>
    </row>
    <row r="42" spans="1:28" s="26" customFormat="1" ht="15" customHeight="1">
      <c r="A42" s="24"/>
      <c r="B42" s="22"/>
      <c r="C42" s="22"/>
      <c r="D42" s="21"/>
      <c r="E42" s="22"/>
      <c r="F42" s="22"/>
      <c r="G42" s="28"/>
      <c r="H42" s="23"/>
      <c r="I42" s="23"/>
      <c r="J42" s="23"/>
      <c r="K42" s="23"/>
      <c r="L42" s="22"/>
      <c r="M42" s="23"/>
      <c r="N42" s="23"/>
      <c r="O42" s="23"/>
      <c r="P42" s="23"/>
      <c r="Q42" s="23"/>
      <c r="R42" s="59"/>
      <c r="S42" s="23"/>
      <c r="T42" s="30"/>
      <c r="U42" s="23"/>
      <c r="W42" s="31"/>
      <c r="X42" s="31"/>
      <c r="AA42" s="167"/>
      <c r="AB42" s="24"/>
    </row>
    <row r="43" spans="1:28" s="26" customFormat="1" ht="15" customHeight="1">
      <c r="A43" s="28"/>
      <c r="D43" s="21"/>
      <c r="E43" s="22"/>
      <c r="F43" s="22"/>
      <c r="G43" s="28"/>
      <c r="H43" s="23"/>
      <c r="I43" s="23"/>
      <c r="J43" s="23"/>
      <c r="K43" s="23"/>
      <c r="L43" s="22"/>
      <c r="M43" s="23"/>
      <c r="N43" s="23"/>
      <c r="O43" s="23"/>
      <c r="P43" s="23"/>
      <c r="Q43" s="23"/>
      <c r="R43" s="59"/>
      <c r="S43" s="23"/>
      <c r="T43" s="30"/>
      <c r="U43" s="23"/>
      <c r="W43" s="31"/>
      <c r="X43" s="31"/>
      <c r="AA43" s="167"/>
      <c r="AB43" s="24"/>
    </row>
    <row r="44" spans="1:28" s="26" customFormat="1" ht="15" customHeight="1">
      <c r="A44" s="28"/>
      <c r="B44" s="22"/>
      <c r="D44" s="21"/>
      <c r="E44" s="22"/>
      <c r="F44" s="22"/>
      <c r="G44" s="28"/>
      <c r="H44" s="23"/>
      <c r="I44" s="23"/>
      <c r="J44" s="23"/>
      <c r="K44" s="23"/>
      <c r="L44" s="22"/>
      <c r="M44" s="23"/>
      <c r="N44" s="23"/>
      <c r="O44" s="23"/>
      <c r="P44" s="23"/>
      <c r="Q44" s="23"/>
      <c r="R44" s="59"/>
      <c r="S44" s="23"/>
      <c r="T44" s="30"/>
      <c r="U44" s="23"/>
      <c r="W44" s="31"/>
      <c r="X44" s="31"/>
      <c r="AA44" s="167"/>
      <c r="AB44" s="24"/>
    </row>
    <row r="45" spans="1:28" s="26" customFormat="1" ht="15" customHeight="1">
      <c r="A45" s="28"/>
      <c r="B45" s="22"/>
      <c r="D45" s="21"/>
      <c r="E45" s="22"/>
      <c r="F45" s="22"/>
      <c r="G45" s="28"/>
      <c r="H45" s="23"/>
      <c r="I45" s="23"/>
      <c r="J45" s="23"/>
      <c r="K45" s="23"/>
      <c r="L45" s="22"/>
      <c r="M45" s="23"/>
      <c r="N45" s="23"/>
      <c r="O45" s="23"/>
      <c r="P45" s="23"/>
      <c r="Q45" s="23"/>
      <c r="R45" s="59"/>
      <c r="S45" s="23"/>
      <c r="T45" s="30"/>
      <c r="U45" s="23"/>
      <c r="W45" s="31"/>
      <c r="X45" s="31"/>
      <c r="AA45" s="167"/>
      <c r="AB45" s="24"/>
    </row>
    <row r="46" spans="1:28" ht="15" customHeight="1">
      <c r="A46" s="28"/>
      <c r="B46" s="22"/>
      <c r="D46" s="8"/>
      <c r="E46" s="1"/>
      <c r="F46" s="1"/>
      <c r="G46" s="2"/>
      <c r="H46" s="4"/>
      <c r="I46" s="4"/>
      <c r="J46" s="4"/>
      <c r="K46" s="4"/>
      <c r="L46" s="1"/>
      <c r="M46" s="4"/>
      <c r="N46" s="4"/>
      <c r="O46" s="4"/>
      <c r="P46" s="4"/>
      <c r="Q46" s="4"/>
      <c r="R46" s="55"/>
      <c r="S46" s="4"/>
      <c r="U46" s="4"/>
      <c r="AB46" s="6"/>
    </row>
    <row r="47" spans="1:28" ht="15" customHeight="1">
      <c r="A47" s="2"/>
      <c r="B47" s="22"/>
      <c r="C47" s="1"/>
      <c r="D47" s="8"/>
      <c r="E47" s="1"/>
      <c r="F47" s="1"/>
      <c r="G47" s="2"/>
      <c r="H47" s="4"/>
      <c r="I47" s="4"/>
      <c r="J47" s="4"/>
      <c r="K47" s="4"/>
      <c r="L47" s="1"/>
      <c r="M47" s="4"/>
      <c r="N47" s="1"/>
      <c r="O47" s="1"/>
      <c r="P47" s="1"/>
      <c r="Q47" s="4"/>
      <c r="R47" s="55"/>
      <c r="S47" s="4"/>
      <c r="U47" s="4"/>
      <c r="AB47" s="6"/>
    </row>
    <row r="48" spans="1:28" ht="15" customHeight="1">
      <c r="A48" s="2"/>
      <c r="B48" s="22"/>
      <c r="C48" s="1"/>
      <c r="D48" s="8"/>
      <c r="E48" s="1"/>
      <c r="F48" s="1"/>
      <c r="G48" s="2"/>
      <c r="H48" s="4"/>
      <c r="I48" s="4"/>
      <c r="J48" s="4"/>
      <c r="K48" s="4"/>
      <c r="L48" s="1"/>
      <c r="M48" s="4"/>
      <c r="N48" s="1"/>
      <c r="O48" s="1"/>
      <c r="P48" s="1"/>
      <c r="Q48" s="1"/>
      <c r="R48" s="60"/>
      <c r="S48" s="4"/>
      <c r="U48" s="4"/>
      <c r="AB48" s="6"/>
    </row>
    <row r="49" spans="1:28" ht="15" customHeight="1">
      <c r="A49" s="24"/>
      <c r="B49" s="22"/>
      <c r="C49" s="1"/>
      <c r="D49" s="8"/>
      <c r="E49" s="1"/>
      <c r="F49" s="1"/>
      <c r="G49" s="2"/>
      <c r="H49" s="4"/>
      <c r="I49" s="4"/>
      <c r="J49" s="4"/>
      <c r="K49" s="4"/>
      <c r="L49" s="1"/>
      <c r="M49" s="4"/>
      <c r="N49" s="1"/>
      <c r="O49" s="1"/>
      <c r="P49" s="1"/>
      <c r="Q49" s="4"/>
      <c r="R49" s="55"/>
      <c r="S49" s="4"/>
      <c r="U49" s="4"/>
      <c r="AB49" s="6"/>
    </row>
    <row r="50" spans="1:16" ht="15" customHeight="1">
      <c r="A50" s="15"/>
      <c r="B50" s="148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4"/>
      <c r="O50" s="4"/>
      <c r="P50" s="4"/>
    </row>
    <row r="51" spans="1:16" ht="15" customHeight="1">
      <c r="A51" s="24"/>
      <c r="B51" s="148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4"/>
      <c r="O51" s="4"/>
      <c r="P51" s="4"/>
    </row>
    <row r="52" spans="1:16" ht="15" customHeight="1">
      <c r="A52" s="15"/>
      <c r="B52" s="148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4"/>
      <c r="O52" s="4"/>
      <c r="P52" s="4"/>
    </row>
    <row r="53" spans="1:16" ht="1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4"/>
      <c r="O53" s="4"/>
      <c r="P53" s="4"/>
    </row>
    <row r="54" spans="1:16" ht="1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4"/>
      <c r="O54" s="4"/>
      <c r="P54" s="4"/>
    </row>
    <row r="55" spans="1:16" ht="1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4"/>
      <c r="O55" s="4"/>
      <c r="P55" s="4"/>
    </row>
    <row r="56" spans="1:16" ht="1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4"/>
      <c r="O56" s="4"/>
      <c r="P56" s="4"/>
    </row>
    <row r="57" spans="1:16" ht="1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4"/>
      <c r="O57" s="4"/>
      <c r="P57" s="4"/>
    </row>
    <row r="58" spans="1:16" ht="1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4"/>
      <c r="O58" s="4"/>
      <c r="P58" s="4"/>
    </row>
    <row r="59" spans="1:16" ht="1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4"/>
      <c r="O59" s="4"/>
      <c r="P59" s="4"/>
    </row>
    <row r="60" spans="1:16" ht="1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4"/>
      <c r="O60" s="4"/>
      <c r="P60" s="4"/>
    </row>
    <row r="61" spans="1:16" ht="1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4"/>
      <c r="O61" s="4"/>
      <c r="P61" s="4"/>
    </row>
    <row r="62" spans="1:16" ht="1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4"/>
      <c r="O62" s="4"/>
      <c r="P62" s="4"/>
    </row>
    <row r="63" spans="1:16" ht="1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4"/>
      <c r="O63" s="4"/>
      <c r="P63" s="4"/>
    </row>
    <row r="64" spans="1:16" ht="1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4"/>
      <c r="O64" s="4"/>
      <c r="P64" s="4"/>
    </row>
    <row r="65" spans="1:16" ht="1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4"/>
      <c r="O65" s="4"/>
      <c r="P65" s="4"/>
    </row>
    <row r="66" spans="1:16" ht="15" customHeight="1">
      <c r="A66" s="2"/>
      <c r="B66" s="1"/>
      <c r="C66" s="1"/>
      <c r="D66" s="8"/>
      <c r="E66" s="1"/>
      <c r="F66" s="1"/>
      <c r="G66" s="2"/>
      <c r="H66" s="4"/>
      <c r="I66" s="4"/>
      <c r="J66" s="4"/>
      <c r="K66" s="4"/>
      <c r="L66" s="1"/>
      <c r="M66" s="4"/>
      <c r="N66" s="4"/>
      <c r="O66" s="4"/>
      <c r="P66" s="4"/>
    </row>
    <row r="67" spans="1:16" ht="15" customHeight="1">
      <c r="A67" s="2"/>
      <c r="B67" s="1"/>
      <c r="C67" s="1"/>
      <c r="D67" s="8"/>
      <c r="E67" s="1"/>
      <c r="F67" s="1"/>
      <c r="G67" s="2"/>
      <c r="H67" s="4"/>
      <c r="I67" s="4"/>
      <c r="J67" s="4"/>
      <c r="K67" s="4"/>
      <c r="L67" s="1"/>
      <c r="M67" s="4"/>
      <c r="N67" s="4"/>
      <c r="O67" s="4"/>
      <c r="P67" s="4"/>
    </row>
    <row r="68" spans="1:16" ht="15" customHeight="1">
      <c r="A68" s="2"/>
      <c r="B68" s="1"/>
      <c r="C68" s="1"/>
      <c r="D68" s="8"/>
      <c r="E68" s="1"/>
      <c r="F68" s="1"/>
      <c r="G68" s="2"/>
      <c r="H68" s="4"/>
      <c r="I68" s="4"/>
      <c r="J68" s="4"/>
      <c r="K68" s="4"/>
      <c r="L68" s="1"/>
      <c r="M68" s="4"/>
      <c r="N68" s="4"/>
      <c r="O68" s="4"/>
      <c r="P68" s="4"/>
    </row>
    <row r="69" spans="1:16" ht="15" customHeight="1">
      <c r="A69" s="2"/>
      <c r="B69" s="1"/>
      <c r="C69" s="1"/>
      <c r="D69" s="8"/>
      <c r="E69" s="1"/>
      <c r="F69" s="1"/>
      <c r="G69" s="2"/>
      <c r="H69" s="4"/>
      <c r="I69" s="4"/>
      <c r="J69" s="4"/>
      <c r="K69" s="4"/>
      <c r="L69" s="1"/>
      <c r="M69" s="4"/>
      <c r="N69" s="4"/>
      <c r="O69" s="4"/>
      <c r="P69" s="4"/>
    </row>
    <row r="70" spans="1:16" ht="15" customHeight="1">
      <c r="A70" s="2"/>
      <c r="B70" s="1"/>
      <c r="C70" s="1"/>
      <c r="D70" s="8"/>
      <c r="E70" s="1"/>
      <c r="F70" s="1"/>
      <c r="G70" s="2"/>
      <c r="H70" s="4"/>
      <c r="I70" s="4"/>
      <c r="J70" s="4"/>
      <c r="K70" s="4"/>
      <c r="L70" s="1"/>
      <c r="M70" s="4"/>
      <c r="N70" s="4"/>
      <c r="O70" s="4"/>
      <c r="P70" s="4"/>
    </row>
    <row r="71" spans="1:16" ht="15" customHeight="1">
      <c r="A71" s="3"/>
      <c r="B71" s="4"/>
      <c r="C71" s="2"/>
      <c r="D71" s="8"/>
      <c r="E71" s="1"/>
      <c r="F71" s="1"/>
      <c r="G71" s="2"/>
      <c r="H71" s="4"/>
      <c r="I71" s="4"/>
      <c r="J71" s="4"/>
      <c r="K71" s="4"/>
      <c r="L71" s="1"/>
      <c r="M71" s="1"/>
      <c r="N71" s="1"/>
      <c r="O71" s="1"/>
      <c r="P71" s="1"/>
    </row>
    <row r="72" spans="1:16" ht="15" customHeight="1">
      <c r="A72" s="6"/>
      <c r="B72" s="1"/>
      <c r="C72" s="9"/>
      <c r="D72" s="8"/>
      <c r="E72" s="1"/>
      <c r="F72" s="1"/>
      <c r="G72" s="2"/>
      <c r="H72" s="4"/>
      <c r="I72" s="4"/>
      <c r="J72" s="4"/>
      <c r="K72" s="1"/>
      <c r="L72" s="1"/>
      <c r="M72" s="1"/>
      <c r="N72" s="1"/>
      <c r="O72" s="1"/>
      <c r="P72" s="1"/>
    </row>
    <row r="73" spans="1:16" ht="15" customHeight="1">
      <c r="A73" s="4"/>
      <c r="B73" s="4"/>
      <c r="C73" s="4"/>
      <c r="D73" s="8"/>
      <c r="E73" s="1"/>
      <c r="F73" s="1"/>
      <c r="G73" s="2"/>
      <c r="H73" s="4"/>
      <c r="I73" s="4"/>
      <c r="J73" s="4"/>
      <c r="K73" s="4"/>
      <c r="L73" s="1"/>
      <c r="M73" s="1"/>
      <c r="N73" s="1"/>
      <c r="O73" s="1"/>
      <c r="P73" s="1"/>
    </row>
    <row r="74" spans="1:16" ht="15" customHeight="1">
      <c r="A74" s="16"/>
      <c r="B74" s="3"/>
      <c r="C74" s="3"/>
      <c r="D74" s="8"/>
      <c r="E74" s="1"/>
      <c r="F74" s="1"/>
      <c r="G74" s="2"/>
      <c r="H74" s="4"/>
      <c r="I74" s="4"/>
      <c r="J74" s="4"/>
      <c r="K74" s="1"/>
      <c r="L74" s="8"/>
      <c r="M74" s="1"/>
      <c r="N74" s="1"/>
      <c r="O74" s="1"/>
      <c r="P74" s="1"/>
    </row>
    <row r="75" spans="1:16" ht="15" customHeight="1">
      <c r="A75" s="11"/>
      <c r="B75" s="3"/>
      <c r="C75" s="3"/>
      <c r="D75" s="8"/>
      <c r="E75" s="1"/>
      <c r="F75" s="1"/>
      <c r="G75" s="2"/>
      <c r="H75" s="4"/>
      <c r="I75" s="4"/>
      <c r="J75" s="4"/>
      <c r="K75" s="4"/>
      <c r="L75" s="1"/>
      <c r="M75" s="1"/>
      <c r="N75" s="1"/>
      <c r="O75" s="1"/>
      <c r="P75" s="1"/>
    </row>
    <row r="76" spans="1:16" ht="15" customHeight="1">
      <c r="A76" s="11"/>
      <c r="B76" s="3"/>
      <c r="C76" s="3"/>
      <c r="D76" s="8"/>
      <c r="E76" s="1"/>
      <c r="F76" s="1"/>
      <c r="G76" s="2"/>
      <c r="H76" s="4"/>
      <c r="I76" s="4"/>
      <c r="J76" s="4"/>
      <c r="K76" s="4"/>
      <c r="L76" s="1"/>
      <c r="M76" s="1"/>
      <c r="N76" s="1"/>
      <c r="O76" s="1"/>
      <c r="P76" s="1"/>
    </row>
    <row r="77" spans="1:16" ht="15" customHeight="1">
      <c r="A77" s="11"/>
      <c r="B77" s="3"/>
      <c r="C77" s="3"/>
      <c r="D77" s="8"/>
      <c r="E77" s="1"/>
      <c r="F77" s="1"/>
      <c r="G77" s="2"/>
      <c r="H77" s="4"/>
      <c r="I77" s="4"/>
      <c r="J77" s="4"/>
      <c r="K77" s="4"/>
      <c r="L77" s="1"/>
      <c r="M77" s="1"/>
      <c r="N77" s="1"/>
      <c r="O77" s="1"/>
      <c r="P77" s="1"/>
    </row>
    <row r="78" spans="1:16" ht="15" customHeight="1">
      <c r="A78" s="11"/>
      <c r="B78" s="3"/>
      <c r="C78" s="3"/>
      <c r="D78" s="8"/>
      <c r="E78" s="1"/>
      <c r="F78" s="1"/>
      <c r="G78" s="2"/>
      <c r="H78" s="4"/>
      <c r="I78" s="4"/>
      <c r="J78" s="4"/>
      <c r="K78" s="4"/>
      <c r="L78" s="1"/>
      <c r="M78" s="1"/>
      <c r="N78" s="1"/>
      <c r="O78" s="1"/>
      <c r="P78" s="1"/>
    </row>
    <row r="79" spans="1:16" ht="15" customHeight="1">
      <c r="A79" s="11"/>
      <c r="B79" s="3"/>
      <c r="C79" s="3"/>
      <c r="D79" s="8"/>
      <c r="E79" s="1"/>
      <c r="F79" s="1"/>
      <c r="G79" s="2"/>
      <c r="H79" s="4"/>
      <c r="I79" s="4"/>
      <c r="J79" s="4"/>
      <c r="K79" s="4"/>
      <c r="L79" s="1"/>
      <c r="M79" s="1"/>
      <c r="N79" s="1"/>
      <c r="O79" s="1"/>
      <c r="P79" s="1"/>
    </row>
    <row r="80" spans="1:16" ht="15" customHeight="1">
      <c r="A80" s="11"/>
      <c r="B80" s="3"/>
      <c r="C80" s="3"/>
      <c r="D80" s="8"/>
      <c r="E80" s="1"/>
      <c r="F80" s="1"/>
      <c r="G80" s="2"/>
      <c r="H80" s="4"/>
      <c r="I80" s="4"/>
      <c r="J80" s="4"/>
      <c r="K80" s="4"/>
      <c r="L80" s="1"/>
      <c r="M80" s="1"/>
      <c r="N80" s="1"/>
      <c r="O80" s="1"/>
      <c r="P80" s="1"/>
    </row>
    <row r="81" spans="1:16" ht="15" customHeight="1">
      <c r="A81" s="11"/>
      <c r="B81" s="3"/>
      <c r="C81" s="3"/>
      <c r="D81" s="8"/>
      <c r="E81" s="1"/>
      <c r="F81" s="1"/>
      <c r="G81" s="2"/>
      <c r="H81" s="4"/>
      <c r="I81" s="4"/>
      <c r="J81" s="4"/>
      <c r="K81" s="4"/>
      <c r="L81" s="1"/>
      <c r="M81" s="1"/>
      <c r="N81" s="1"/>
      <c r="O81" s="1"/>
      <c r="P81" s="1"/>
    </row>
    <row r="82" spans="1:16" ht="15" customHeight="1">
      <c r="A82" s="11"/>
      <c r="B82" s="3"/>
      <c r="C82" s="3"/>
      <c r="D82" s="8"/>
      <c r="E82" s="1"/>
      <c r="F82" s="1"/>
      <c r="G82" s="2"/>
      <c r="H82" s="4"/>
      <c r="I82" s="4"/>
      <c r="J82" s="4"/>
      <c r="K82" s="4"/>
      <c r="L82" s="1"/>
      <c r="M82" s="1"/>
      <c r="N82" s="1"/>
      <c r="O82" s="1"/>
      <c r="P82" s="1"/>
    </row>
    <row r="83" spans="1:16" ht="15" customHeight="1">
      <c r="A83" s="11"/>
      <c r="B83" s="3"/>
      <c r="C83" s="3"/>
      <c r="D83" s="8"/>
      <c r="E83" s="1"/>
      <c r="F83" s="1"/>
      <c r="G83" s="2"/>
      <c r="H83" s="4"/>
      <c r="I83" s="4"/>
      <c r="J83" s="4"/>
      <c r="K83" s="4"/>
      <c r="L83" s="1"/>
      <c r="M83" s="1"/>
      <c r="N83" s="1"/>
      <c r="O83" s="1"/>
      <c r="P83" s="1"/>
    </row>
    <row r="84" spans="1:16" ht="15" customHeight="1">
      <c r="A84" s="11"/>
      <c r="B84" s="3"/>
      <c r="C84" s="3"/>
      <c r="D84" s="8"/>
      <c r="E84" s="1"/>
      <c r="F84" s="1"/>
      <c r="G84" s="2"/>
      <c r="H84" s="4"/>
      <c r="I84" s="4"/>
      <c r="J84" s="4"/>
      <c r="K84" s="4"/>
      <c r="L84" s="1"/>
      <c r="M84" s="1"/>
      <c r="N84" s="1"/>
      <c r="O84" s="1"/>
      <c r="P84" s="1"/>
    </row>
    <row r="85" spans="1:16" ht="15" customHeight="1">
      <c r="A85" s="2"/>
      <c r="B85" s="1"/>
      <c r="C85" s="1"/>
      <c r="D85" s="8"/>
      <c r="E85" s="1"/>
      <c r="F85" s="1"/>
      <c r="G85" s="2"/>
      <c r="H85" s="4"/>
      <c r="I85" s="4"/>
      <c r="J85" s="4"/>
      <c r="K85" s="4"/>
      <c r="L85" s="1"/>
      <c r="M85" s="17"/>
      <c r="N85" s="4"/>
      <c r="O85" s="4"/>
      <c r="P85" s="4"/>
    </row>
    <row r="86" spans="1:16" ht="15" customHeight="1">
      <c r="A86" s="2"/>
      <c r="B86" s="1"/>
      <c r="C86" s="1"/>
      <c r="D86" s="8"/>
      <c r="E86" s="1"/>
      <c r="F86" s="1"/>
      <c r="G86" s="2"/>
      <c r="H86" s="4"/>
      <c r="I86" s="4"/>
      <c r="J86" s="4"/>
      <c r="K86" s="4"/>
      <c r="L86" s="1"/>
      <c r="M86" s="17"/>
      <c r="N86" s="4"/>
      <c r="O86" s="4"/>
      <c r="P86" s="4"/>
    </row>
    <row r="87" spans="1:16" ht="15" customHeight="1">
      <c r="A87" s="2"/>
      <c r="B87" s="1"/>
      <c r="C87" s="1"/>
      <c r="D87" s="8"/>
      <c r="E87" s="1"/>
      <c r="F87" s="1"/>
      <c r="G87" s="2"/>
      <c r="H87" s="4"/>
      <c r="I87" s="4"/>
      <c r="J87" s="4"/>
      <c r="K87" s="4"/>
      <c r="L87" s="1"/>
      <c r="M87" s="4"/>
      <c r="N87" s="4"/>
      <c r="O87" s="4"/>
      <c r="P87" s="4"/>
    </row>
    <row r="88" spans="1:16" ht="15" customHeight="1">
      <c r="A88" s="2"/>
      <c r="B88" s="1"/>
      <c r="C88" s="1"/>
      <c r="D88" s="8"/>
      <c r="E88" s="1"/>
      <c r="F88" s="1"/>
      <c r="G88" s="2"/>
      <c r="H88" s="4"/>
      <c r="I88" s="4"/>
      <c r="J88" s="4"/>
      <c r="K88" s="4"/>
      <c r="L88" s="1"/>
      <c r="M88" s="4"/>
      <c r="N88" s="4"/>
      <c r="O88" s="4"/>
      <c r="P88" s="4"/>
    </row>
    <row r="89" spans="1:16" ht="15" customHeight="1">
      <c r="A89" s="2"/>
      <c r="B89" s="1"/>
      <c r="C89" s="1"/>
      <c r="D89" s="8"/>
      <c r="E89" s="1"/>
      <c r="F89" s="1"/>
      <c r="G89" s="2"/>
      <c r="H89" s="4"/>
      <c r="I89" s="4"/>
      <c r="J89" s="4"/>
      <c r="K89" s="4"/>
      <c r="L89" s="1"/>
      <c r="M89" s="4"/>
      <c r="N89" s="4"/>
      <c r="O89" s="4"/>
      <c r="P89" s="4"/>
    </row>
    <row r="90" spans="1:16" ht="15" customHeight="1">
      <c r="A90" s="2"/>
      <c r="B90" s="1"/>
      <c r="C90" s="1"/>
      <c r="D90" s="8"/>
      <c r="E90" s="1"/>
      <c r="F90" s="1"/>
      <c r="G90" s="2"/>
      <c r="H90" s="4"/>
      <c r="I90" s="4"/>
      <c r="J90" s="4"/>
      <c r="K90" s="4"/>
      <c r="L90" s="1"/>
      <c r="M90" s="4"/>
      <c r="N90" s="4"/>
      <c r="O90" s="4"/>
      <c r="P90" s="4"/>
    </row>
    <row r="91" spans="1:16" ht="15" customHeight="1">
      <c r="A91" s="2"/>
      <c r="B91" s="1"/>
      <c r="C91" s="1"/>
      <c r="D91" s="8"/>
      <c r="E91" s="1"/>
      <c r="F91" s="1"/>
      <c r="G91" s="2"/>
      <c r="H91" s="4"/>
      <c r="I91" s="4"/>
      <c r="J91" s="4"/>
      <c r="K91" s="4"/>
      <c r="L91" s="1"/>
      <c r="M91" s="4"/>
      <c r="N91" s="4"/>
      <c r="O91" s="4"/>
      <c r="P91" s="4"/>
    </row>
    <row r="92" spans="1:16" ht="15" customHeight="1">
      <c r="A92" s="2"/>
      <c r="B92" s="1"/>
      <c r="C92" s="1"/>
      <c r="D92" s="8"/>
      <c r="E92" s="1"/>
      <c r="F92" s="1"/>
      <c r="G92" s="2"/>
      <c r="H92" s="4"/>
      <c r="I92" s="4"/>
      <c r="J92" s="4"/>
      <c r="K92" s="4"/>
      <c r="L92" s="1"/>
      <c r="M92" s="4"/>
      <c r="N92" s="4"/>
      <c r="O92" s="4"/>
      <c r="P92" s="4"/>
    </row>
    <row r="93" spans="1:16" ht="15" customHeight="1">
      <c r="A93" s="2"/>
      <c r="B93" s="1"/>
      <c r="C93" s="1"/>
      <c r="D93" s="8"/>
      <c r="E93" s="1"/>
      <c r="F93" s="1"/>
      <c r="G93" s="2"/>
      <c r="H93" s="4"/>
      <c r="I93" s="4"/>
      <c r="J93" s="4"/>
      <c r="K93" s="4"/>
      <c r="L93" s="1"/>
      <c r="M93" s="4"/>
      <c r="N93" s="4"/>
      <c r="O93" s="4"/>
      <c r="P93" s="4"/>
    </row>
    <row r="94" spans="1:16" ht="15" customHeight="1">
      <c r="A94" s="2"/>
      <c r="B94" s="1"/>
      <c r="C94" s="1"/>
      <c r="D94" s="8"/>
      <c r="E94" s="1"/>
      <c r="F94" s="1"/>
      <c r="G94" s="2"/>
      <c r="H94" s="4"/>
      <c r="I94" s="4"/>
      <c r="J94" s="4"/>
      <c r="K94" s="4"/>
      <c r="L94" s="1"/>
      <c r="M94" s="4"/>
      <c r="N94" s="4"/>
      <c r="O94" s="4"/>
      <c r="P94" s="4"/>
    </row>
    <row r="95" spans="1:16" ht="15" customHeight="1">
      <c r="A95" s="2"/>
      <c r="B95" s="1"/>
      <c r="C95" s="1"/>
      <c r="D95" s="8"/>
      <c r="E95" s="1"/>
      <c r="F95" s="1"/>
      <c r="G95" s="2"/>
      <c r="H95" s="4"/>
      <c r="I95" s="4"/>
      <c r="J95" s="4"/>
      <c r="K95" s="4"/>
      <c r="L95" s="1"/>
      <c r="M95" s="4"/>
      <c r="N95" s="4"/>
      <c r="O95" s="4"/>
      <c r="P95" s="4"/>
    </row>
    <row r="96" spans="1:16" ht="15" customHeight="1">
      <c r="A96" s="2"/>
      <c r="B96" s="1"/>
      <c r="C96" s="1"/>
      <c r="D96" s="8"/>
      <c r="E96" s="1"/>
      <c r="F96" s="1"/>
      <c r="G96" s="2"/>
      <c r="H96" s="4"/>
      <c r="I96" s="4"/>
      <c r="J96" s="4"/>
      <c r="K96" s="4"/>
      <c r="L96" s="1"/>
      <c r="M96" s="4"/>
      <c r="N96" s="4"/>
      <c r="O96" s="4"/>
      <c r="P96" s="4"/>
    </row>
    <row r="97" spans="1:16" ht="15" customHeight="1">
      <c r="A97" s="2"/>
      <c r="B97" s="1"/>
      <c r="C97" s="1"/>
      <c r="D97" s="8"/>
      <c r="E97" s="1"/>
      <c r="F97" s="1"/>
      <c r="G97" s="2"/>
      <c r="H97" s="4"/>
      <c r="I97" s="4"/>
      <c r="J97" s="4"/>
      <c r="K97" s="4"/>
      <c r="L97" s="1"/>
      <c r="M97" s="4"/>
      <c r="N97" s="4"/>
      <c r="O97" s="4"/>
      <c r="P97" s="4"/>
    </row>
  </sheetData>
  <mergeCells count="1">
    <mergeCell ref="P1:Q1"/>
  </mergeCells>
  <printOptions horizontalCentered="1"/>
  <pageMargins left="0.5" right="0.5" top="0.5" bottom="0.6" header="0.3" footer="0.4"/>
  <pageSetup fitToHeight="1" fitToWidth="1" horizontalDpi="600" verticalDpi="600" orientation="landscape" scale="69" r:id="rId2"/>
  <headerFooter alignWithMargins="0">
    <oddHeader xml:space="preserve">&amp;CSpreadsheet by Agilent Technologies&amp;R </oddHeader>
    <oddFooter>&amp;L&amp;F tab &amp;A page &amp;P of &amp;N&amp;RPrinted &amp;T 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7"/>
  <sheetViews>
    <sheetView showGridLines="0" showOutlineSymbols="0" zoomScale="70" zoomScaleNormal="70" workbookViewId="0" topLeftCell="A1">
      <selection activeCell="B11" sqref="B11"/>
    </sheetView>
  </sheetViews>
  <sheetFormatPr defaultColWidth="9.140625" defaultRowHeight="12.75"/>
  <cols>
    <col min="1" max="1" width="10.7109375" style="5" customWidth="1"/>
    <col min="2" max="3" width="10.8515625" style="5" customWidth="1"/>
    <col min="4" max="4" width="9.7109375" style="5" customWidth="1"/>
    <col min="5" max="5" width="10.7109375" style="5" customWidth="1"/>
    <col min="6" max="6" width="6.57421875" style="5" customWidth="1"/>
    <col min="7" max="8" width="6.7109375" style="5" customWidth="1"/>
    <col min="9" max="9" width="7.28125" style="5" customWidth="1"/>
    <col min="10" max="10" width="7.7109375" style="5" customWidth="1"/>
    <col min="11" max="11" width="7.28125" style="5" customWidth="1"/>
    <col min="12" max="12" width="6.57421875" style="5" customWidth="1"/>
    <col min="13" max="14" width="6.28125" style="5" customWidth="1"/>
    <col min="15" max="17" width="7.7109375" style="5" customWidth="1"/>
    <col min="18" max="18" width="8.421875" style="56" customWidth="1"/>
    <col min="19" max="19" width="6.57421875" style="5" customWidth="1"/>
    <col min="20" max="20" width="7.28125" style="7" customWidth="1"/>
    <col min="21" max="21" width="7.421875" style="5" customWidth="1"/>
    <col min="22" max="22" width="7.7109375" style="5" customWidth="1"/>
    <col min="23" max="23" width="11.140625" style="10" customWidth="1"/>
    <col min="24" max="24" width="8.8515625" style="10" customWidth="1"/>
    <col min="25" max="25" width="8.140625" style="5" customWidth="1"/>
    <col min="26" max="26" width="7.57421875" style="5" customWidth="1"/>
    <col min="27" max="27" width="10.00390625" style="166" customWidth="1"/>
    <col min="28" max="28" width="6.00390625" style="5" customWidth="1"/>
    <col min="29" max="29" width="6.7109375" style="5" customWidth="1"/>
    <col min="30" max="30" width="7.140625" style="5" customWidth="1"/>
    <col min="31" max="32" width="10.00390625" style="5" customWidth="1"/>
    <col min="33" max="16384" width="11.140625" style="5" customWidth="1"/>
  </cols>
  <sheetData>
    <row r="1" spans="1:32" s="133" customFormat="1" ht="15">
      <c r="A1" s="130" t="s">
        <v>121</v>
      </c>
      <c r="B1" s="113"/>
      <c r="C1" s="113"/>
      <c r="D1" s="113"/>
      <c r="E1" s="117"/>
      <c r="F1" s="117"/>
      <c r="G1" s="117"/>
      <c r="H1" s="117"/>
      <c r="I1" s="117"/>
      <c r="J1" s="117"/>
      <c r="K1" s="117"/>
      <c r="L1" s="131" t="s">
        <v>76</v>
      </c>
      <c r="M1" s="113" t="s">
        <v>186</v>
      </c>
      <c r="N1" s="117"/>
      <c r="O1" s="138" t="s">
        <v>185</v>
      </c>
      <c r="P1" s="260">
        <f>Notes!D17</f>
        <v>36714</v>
      </c>
      <c r="Q1" s="261"/>
      <c r="R1" s="224" t="s">
        <v>1</v>
      </c>
      <c r="S1" s="230"/>
      <c r="T1" s="234" t="s">
        <v>145</v>
      </c>
      <c r="U1" s="230" t="str">
        <f>Notes!A1</f>
        <v>5pmd047.xls</v>
      </c>
      <c r="V1" s="223"/>
      <c r="W1" s="231">
        <f>Notes!D1</f>
        <v>36714</v>
      </c>
      <c r="Z1" s="51"/>
      <c r="AA1" s="164"/>
      <c r="AB1" s="226"/>
      <c r="AC1" s="51"/>
      <c r="AD1" s="51"/>
      <c r="AE1" s="51"/>
      <c r="AF1" s="51"/>
    </row>
    <row r="2" spans="1:32" ht="15.75">
      <c r="A2" s="62" t="s">
        <v>2</v>
      </c>
      <c r="B2" s="121" t="s">
        <v>3</v>
      </c>
      <c r="C2" s="73"/>
      <c r="D2" s="65"/>
      <c r="E2" s="73"/>
      <c r="F2" s="73"/>
      <c r="G2" s="62"/>
      <c r="H2" s="61"/>
      <c r="I2" s="65" t="s">
        <v>104</v>
      </c>
      <c r="J2" s="137">
        <v>0.1</v>
      </c>
      <c r="K2" s="61" t="s">
        <v>105</v>
      </c>
      <c r="L2" s="61"/>
      <c r="M2" s="73"/>
      <c r="N2" s="61"/>
      <c r="O2" s="62" t="s">
        <v>110</v>
      </c>
      <c r="P2" s="146">
        <f>1000000/$P$6</f>
        <v>288</v>
      </c>
      <c r="Q2" s="61" t="s">
        <v>99</v>
      </c>
      <c r="R2" s="250" t="str">
        <f>Notes!G17</f>
        <v>2.3.5</v>
      </c>
      <c r="S2" s="46"/>
      <c r="T2" s="235"/>
      <c r="U2" s="46"/>
      <c r="V2" s="232" t="s">
        <v>1</v>
      </c>
      <c r="W2" s="233" t="str">
        <f>Notes!F1</f>
        <v>0.4.7</v>
      </c>
      <c r="X2" s="6"/>
      <c r="Y2" s="1"/>
      <c r="Z2" s="1"/>
      <c r="AA2" s="165"/>
      <c r="AB2" s="66"/>
      <c r="AC2" s="1"/>
      <c r="AD2" s="1"/>
      <c r="AE2" s="1"/>
      <c r="AF2" s="1"/>
    </row>
    <row r="3" spans="1:32" ht="15" customHeight="1">
      <c r="A3" s="73"/>
      <c r="B3" s="73"/>
      <c r="C3" s="73"/>
      <c r="D3" s="65" t="s">
        <v>5</v>
      </c>
      <c r="E3" s="152">
        <v>160</v>
      </c>
      <c r="F3" s="61"/>
      <c r="G3" s="61"/>
      <c r="H3" s="73"/>
      <c r="I3" s="62" t="s">
        <v>107</v>
      </c>
      <c r="J3" s="120">
        <v>0.04</v>
      </c>
      <c r="K3" s="73" t="s">
        <v>105</v>
      </c>
      <c r="L3" s="61"/>
      <c r="M3" s="73"/>
      <c r="N3" s="61"/>
      <c r="O3" s="62" t="s">
        <v>4</v>
      </c>
      <c r="P3" s="49">
        <f>IF($B$4&gt;1000,$E$6/1.5,$E$6/3.5)</f>
        <v>1</v>
      </c>
      <c r="Q3" s="61"/>
      <c r="R3" s="81"/>
      <c r="S3" s="85"/>
      <c r="T3" s="82"/>
      <c r="U3" s="67"/>
      <c r="V3" s="73"/>
      <c r="W3" s="66"/>
      <c r="X3" s="6"/>
      <c r="Y3" s="1"/>
      <c r="Z3" s="1"/>
      <c r="AA3" s="165"/>
      <c r="AB3" s="84"/>
      <c r="AC3" s="1"/>
      <c r="AD3" s="1"/>
      <c r="AE3" s="1"/>
      <c r="AF3" s="1"/>
    </row>
    <row r="4" spans="1:32" ht="15" customHeight="1">
      <c r="A4" s="62" t="s">
        <v>55</v>
      </c>
      <c r="B4" s="86">
        <v>800</v>
      </c>
      <c r="C4" s="73"/>
      <c r="D4" s="65" t="s">
        <v>9</v>
      </c>
      <c r="E4" s="83">
        <v>0.093</v>
      </c>
      <c r="F4" s="61"/>
      <c r="G4" s="61"/>
      <c r="H4" s="73"/>
      <c r="I4" s="62" t="s">
        <v>108</v>
      </c>
      <c r="J4" s="219">
        <v>0.005</v>
      </c>
      <c r="K4" s="61" t="s">
        <v>105</v>
      </c>
      <c r="L4" s="61"/>
      <c r="M4" s="61"/>
      <c r="N4" s="61"/>
      <c r="O4" s="62" t="s">
        <v>6</v>
      </c>
      <c r="P4" s="146">
        <f>B7*1.518</f>
        <v>151.8</v>
      </c>
      <c r="Q4" s="73" t="s">
        <v>99</v>
      </c>
      <c r="R4" s="87" t="s">
        <v>7</v>
      </c>
      <c r="S4" s="85"/>
      <c r="T4" s="82"/>
      <c r="U4" s="67"/>
      <c r="V4" s="73"/>
      <c r="W4" s="66"/>
      <c r="X4" s="6"/>
      <c r="Y4" s="1"/>
      <c r="Z4" s="1"/>
      <c r="AA4" s="165"/>
      <c r="AB4" s="85"/>
      <c r="AC4" s="1"/>
      <c r="AD4" s="1"/>
      <c r="AE4" s="1"/>
      <c r="AF4" s="1"/>
    </row>
    <row r="5" spans="1:32" ht="15" customHeight="1">
      <c r="A5" s="62" t="s">
        <v>8</v>
      </c>
      <c r="B5" s="88">
        <v>0.5</v>
      </c>
      <c r="C5" s="73"/>
      <c r="D5" s="65" t="s">
        <v>56</v>
      </c>
      <c r="E5" s="83">
        <v>1365</v>
      </c>
      <c r="F5" s="61"/>
      <c r="G5" s="61"/>
      <c r="H5" s="73"/>
      <c r="I5" s="62" t="s">
        <v>12</v>
      </c>
      <c r="J5" s="89">
        <v>480</v>
      </c>
      <c r="K5" s="61" t="s">
        <v>103</v>
      </c>
      <c r="L5" s="73"/>
      <c r="M5" s="67"/>
      <c r="N5" s="61"/>
      <c r="O5" s="62" t="s">
        <v>10</v>
      </c>
      <c r="P5" s="97">
        <v>0.7</v>
      </c>
      <c r="Q5" s="61"/>
      <c r="R5" s="87" t="s">
        <v>11</v>
      </c>
      <c r="S5" s="81"/>
      <c r="T5" s="82"/>
      <c r="U5" s="67"/>
      <c r="V5" s="73"/>
      <c r="W5" s="66"/>
      <c r="X5" s="6"/>
      <c r="Y5" s="1"/>
      <c r="Z5" s="1"/>
      <c r="AA5" s="165"/>
      <c r="AB5" s="85"/>
      <c r="AC5" s="1"/>
      <c r="AD5" s="1"/>
      <c r="AE5" s="1"/>
      <c r="AF5" s="1"/>
    </row>
    <row r="6" spans="1:32" ht="15" customHeight="1">
      <c r="A6" s="62" t="s">
        <v>74</v>
      </c>
      <c r="B6" s="83">
        <v>7</v>
      </c>
      <c r="C6" s="73" t="s">
        <v>63</v>
      </c>
      <c r="D6" s="65" t="s">
        <v>95</v>
      </c>
      <c r="E6" s="83">
        <v>3.5</v>
      </c>
      <c r="F6" s="61" t="str">
        <f>"dB/km at "&amp;IF(B4&lt;1000,850,1300)&amp;" nm"</f>
        <v>dB/km at 850 nm</v>
      </c>
      <c r="G6" s="61"/>
      <c r="H6" s="73"/>
      <c r="I6" s="62" t="s">
        <v>15</v>
      </c>
      <c r="J6" s="88">
        <v>7.037</v>
      </c>
      <c r="K6" s="61"/>
      <c r="L6" s="61"/>
      <c r="M6" s="67"/>
      <c r="N6" s="61"/>
      <c r="O6" s="65" t="s">
        <v>13</v>
      </c>
      <c r="P6" s="90">
        <f>(P7)</f>
        <v>3472.222222222222</v>
      </c>
      <c r="Q6" s="66"/>
      <c r="R6" s="85"/>
      <c r="S6" s="66" t="s">
        <v>47</v>
      </c>
      <c r="T6" s="52">
        <f>$E$9-$E$10</f>
        <v>6.5</v>
      </c>
      <c r="U6" s="246" t="s">
        <v>63</v>
      </c>
      <c r="V6" s="73"/>
      <c r="W6" s="66"/>
      <c r="Y6" s="175" t="s">
        <v>127</v>
      </c>
      <c r="Z6" s="176">
        <f>$Z$8*$P$2/(SQRT(8)*$T$9)</f>
        <v>1.983079893207306</v>
      </c>
      <c r="AA6" s="177" t="s">
        <v>77</v>
      </c>
      <c r="AB6" s="61"/>
      <c r="AC6" s="1"/>
      <c r="AD6" s="1"/>
      <c r="AE6" s="1"/>
      <c r="AF6" s="1"/>
    </row>
    <row r="7" spans="1:32" ht="15" customHeight="1">
      <c r="A7" s="62" t="s">
        <v>14</v>
      </c>
      <c r="B7" s="83">
        <v>100</v>
      </c>
      <c r="C7" s="73" t="s">
        <v>99</v>
      </c>
      <c r="D7" s="62" t="s">
        <v>96</v>
      </c>
      <c r="E7" s="155">
        <v>3125</v>
      </c>
      <c r="F7" s="73" t="s">
        <v>101</v>
      </c>
      <c r="G7" s="67"/>
      <c r="H7" s="67"/>
      <c r="I7" s="65" t="s">
        <v>100</v>
      </c>
      <c r="J7" s="154">
        <f>2.5*10^5/$E$7</f>
        <v>80</v>
      </c>
      <c r="K7" s="67" t="s">
        <v>99</v>
      </c>
      <c r="L7" s="61"/>
      <c r="M7" s="67"/>
      <c r="N7" s="61"/>
      <c r="O7" s="65" t="s">
        <v>16</v>
      </c>
      <c r="P7" s="91">
        <f>1/((1/$E$7)-$J$8*10^-6)</f>
        <v>3472.222222222222</v>
      </c>
      <c r="Q7" s="66"/>
      <c r="R7" s="85"/>
      <c r="S7" s="93" t="s">
        <v>33</v>
      </c>
      <c r="T7" s="118">
        <f>AE36</f>
        <v>1.2331024898848382</v>
      </c>
      <c r="U7" s="94" t="str">
        <f>"dB at target "&amp;J2&amp;" km"</f>
        <v>dB at target 0.1 km</v>
      </c>
      <c r="V7" s="73"/>
      <c r="W7" s="122"/>
      <c r="Y7" s="175" t="s">
        <v>128</v>
      </c>
      <c r="Z7" s="178">
        <f>IF(ABS($Z$6)&lt;10,SIGN($Z$6)*ERF(ABS($Z$6)),SIGN($Z$6))</f>
        <v>0.9949605071576255</v>
      </c>
      <c r="AA7" s="177" t="s">
        <v>77</v>
      </c>
      <c r="AB7" s="61"/>
      <c r="AC7" s="1"/>
      <c r="AD7" s="1"/>
      <c r="AE7" s="1"/>
      <c r="AF7" s="1"/>
    </row>
    <row r="8" spans="1:32" ht="15" customHeight="1">
      <c r="A8" s="62" t="s">
        <v>86</v>
      </c>
      <c r="B8" s="83">
        <v>-120</v>
      </c>
      <c r="C8" s="105" t="s">
        <v>85</v>
      </c>
      <c r="D8" s="65" t="s">
        <v>97</v>
      </c>
      <c r="E8" s="152">
        <v>2500</v>
      </c>
      <c r="F8" s="73" t="s">
        <v>102</v>
      </c>
      <c r="G8" s="67"/>
      <c r="H8" s="61"/>
      <c r="I8" s="65" t="s">
        <v>19</v>
      </c>
      <c r="J8" s="83">
        <v>32</v>
      </c>
      <c r="K8" s="61"/>
      <c r="L8" s="61"/>
      <c r="M8" s="61"/>
      <c r="N8" s="61"/>
      <c r="O8" s="62" t="s">
        <v>17</v>
      </c>
      <c r="P8" s="63">
        <f>(10^-6)*$J$7*$P$7</f>
        <v>0.27777777777777773</v>
      </c>
      <c r="Q8" s="66"/>
      <c r="R8" s="85"/>
      <c r="S8" s="65" t="s">
        <v>112</v>
      </c>
      <c r="T8" s="49">
        <f>$P$3*((1/(0.00094*$B$4)^4)+1.05)</f>
        <v>4.1770054461551895</v>
      </c>
      <c r="U8" s="61" t="str">
        <f>"dB/km at "&amp;B4&amp;" nm"</f>
        <v>dB/km at 800 nm</v>
      </c>
      <c r="V8" s="73"/>
      <c r="W8" s="66"/>
      <c r="Y8" s="175" t="s">
        <v>129</v>
      </c>
      <c r="Z8" s="179">
        <v>2.563</v>
      </c>
      <c r="AA8" s="177" t="s">
        <v>77</v>
      </c>
      <c r="AB8" s="61"/>
      <c r="AC8" s="1"/>
      <c r="AD8" s="1"/>
      <c r="AE8" s="1"/>
      <c r="AF8" s="1"/>
    </row>
    <row r="9" spans="1:32" ht="15" customHeight="1">
      <c r="A9" s="62" t="s">
        <v>18</v>
      </c>
      <c r="B9" s="83">
        <v>0.8</v>
      </c>
      <c r="C9" s="73"/>
      <c r="D9" s="65" t="s">
        <v>67</v>
      </c>
      <c r="E9" s="83">
        <v>8</v>
      </c>
      <c r="F9" s="73"/>
      <c r="G9" s="73"/>
      <c r="H9" s="61"/>
      <c r="I9" s="65" t="s">
        <v>22</v>
      </c>
      <c r="J9" s="129">
        <v>-5.5</v>
      </c>
      <c r="K9" s="67"/>
      <c r="L9" s="61"/>
      <c r="M9" s="67"/>
      <c r="N9" s="61"/>
      <c r="O9" s="62" t="s">
        <v>20</v>
      </c>
      <c r="P9" s="92">
        <f>(P8)</f>
        <v>0.27777777777777773</v>
      </c>
      <c r="Q9" s="66"/>
      <c r="R9" s="85"/>
      <c r="S9" s="93" t="s">
        <v>73</v>
      </c>
      <c r="T9" s="145">
        <f>T10*1000/$E$8</f>
        <v>131.6</v>
      </c>
      <c r="U9" s="94" t="s">
        <v>99</v>
      </c>
      <c r="V9" s="32"/>
      <c r="W9" s="41"/>
      <c r="Y9" s="180" t="s">
        <v>98</v>
      </c>
      <c r="Z9" s="202">
        <f>ERF(MAX(MIN($Z$8*$P$2*($P$9+1)/(SQRT(8)*$T$9),10),-10))+ERF(MAX(MIN($Z$8*$P$2*(1-$P$9)/(SQRT(8)*$T$9),10),-10))-1</f>
        <v>0.9568419970800157</v>
      </c>
      <c r="AA9" s="181" t="s">
        <v>77</v>
      </c>
      <c r="AB9" s="61"/>
      <c r="AC9" s="1"/>
      <c r="AD9" s="1"/>
      <c r="AE9" s="1"/>
      <c r="AF9" s="1"/>
    </row>
    <row r="10" spans="1:32" ht="15" customHeight="1">
      <c r="A10" s="62" t="s">
        <v>21</v>
      </c>
      <c r="B10" s="83">
        <v>0.15</v>
      </c>
      <c r="C10" s="73"/>
      <c r="D10" s="65" t="s">
        <v>68</v>
      </c>
      <c r="E10" s="83">
        <v>1.5</v>
      </c>
      <c r="F10" s="73"/>
      <c r="G10" s="62"/>
      <c r="H10" s="61"/>
      <c r="I10" s="62" t="s">
        <v>26</v>
      </c>
      <c r="J10" s="119">
        <v>7</v>
      </c>
      <c r="K10" s="61"/>
      <c r="L10" s="61"/>
      <c r="M10" s="67"/>
      <c r="N10" s="61"/>
      <c r="O10" s="62" t="s">
        <v>23</v>
      </c>
      <c r="P10" s="49">
        <f>S35-$T$6</f>
        <v>3.5003313494800565</v>
      </c>
      <c r="Q10" s="67" t="s">
        <v>24</v>
      </c>
      <c r="R10" s="85"/>
      <c r="S10" s="211" t="s">
        <v>171</v>
      </c>
      <c r="T10" s="247">
        <v>329</v>
      </c>
      <c r="U10" s="248" t="s">
        <v>103</v>
      </c>
      <c r="V10" s="73"/>
      <c r="W10" s="106" t="s">
        <v>25</v>
      </c>
      <c r="X10" s="66"/>
      <c r="Y10" s="61"/>
      <c r="Z10" s="73"/>
      <c r="AA10" s="158"/>
      <c r="AB10" s="61"/>
      <c r="AC10" s="1"/>
      <c r="AD10" s="1"/>
      <c r="AE10" s="1"/>
      <c r="AF10" s="1"/>
    </row>
    <row r="11" spans="1:32" ht="15" customHeight="1">
      <c r="A11" s="32"/>
      <c r="B11" s="32"/>
      <c r="C11" s="32"/>
      <c r="D11" s="33"/>
      <c r="E11" s="33"/>
      <c r="F11" s="33"/>
      <c r="G11" s="33"/>
      <c r="H11" s="33"/>
      <c r="I11" s="34" t="s">
        <v>75</v>
      </c>
      <c r="J11" s="35">
        <v>0</v>
      </c>
      <c r="K11" s="36" t="s">
        <v>66</v>
      </c>
      <c r="L11" s="37"/>
      <c r="M11" s="37"/>
      <c r="N11" s="33"/>
      <c r="O11" s="38" t="s">
        <v>62</v>
      </c>
      <c r="P11" s="39">
        <f>10*LOG10(1/SQRT(1-($J$6*J11)^2))</f>
        <v>0</v>
      </c>
      <c r="Q11" s="36" t="s">
        <v>63</v>
      </c>
      <c r="R11" s="57"/>
      <c r="S11" s="38" t="s">
        <v>61</v>
      </c>
      <c r="T11" s="40">
        <f>10*LOG10(1/SQRT(1-($J$6*$J$11/$Z$9)^2))</f>
        <v>0</v>
      </c>
      <c r="U11" s="249" t="s">
        <v>63</v>
      </c>
      <c r="V11" s="73"/>
      <c r="W11" s="95" t="s">
        <v>27</v>
      </c>
      <c r="X11" s="6" t="s">
        <v>28</v>
      </c>
      <c r="Y11" s="12" t="s">
        <v>34</v>
      </c>
      <c r="Z11" s="12" t="s">
        <v>29</v>
      </c>
      <c r="AA11" s="159" t="s">
        <v>78</v>
      </c>
      <c r="AB11" s="61"/>
      <c r="AC11" s="1"/>
      <c r="AD11" s="1"/>
      <c r="AE11" s="1"/>
      <c r="AF11" s="1"/>
    </row>
    <row r="12" spans="1:35" ht="15" customHeight="1">
      <c r="A12" s="123" t="s">
        <v>88</v>
      </c>
      <c r="B12" s="66" t="s">
        <v>57</v>
      </c>
      <c r="C12" s="66" t="s">
        <v>36</v>
      </c>
      <c r="D12" s="72" t="s">
        <v>80</v>
      </c>
      <c r="E12" s="72" t="s">
        <v>81</v>
      </c>
      <c r="F12" s="73" t="s">
        <v>82</v>
      </c>
      <c r="G12" s="73" t="s">
        <v>83</v>
      </c>
      <c r="H12" s="64" t="s">
        <v>37</v>
      </c>
      <c r="I12" s="65" t="s">
        <v>38</v>
      </c>
      <c r="J12" s="66" t="s">
        <v>39</v>
      </c>
      <c r="K12" s="67" t="s">
        <v>40</v>
      </c>
      <c r="L12" s="65" t="s">
        <v>41</v>
      </c>
      <c r="M12" s="65" t="s">
        <v>42</v>
      </c>
      <c r="N12" s="65" t="s">
        <v>43</v>
      </c>
      <c r="O12" s="68" t="s">
        <v>79</v>
      </c>
      <c r="P12" s="65" t="s">
        <v>44</v>
      </c>
      <c r="Q12" s="65" t="s">
        <v>45</v>
      </c>
      <c r="R12" s="69" t="s">
        <v>46</v>
      </c>
      <c r="S12" s="70" t="s">
        <v>48</v>
      </c>
      <c r="T12" s="68" t="s">
        <v>49</v>
      </c>
      <c r="U12" s="67" t="s">
        <v>50</v>
      </c>
      <c r="V12" s="71" t="s">
        <v>33</v>
      </c>
      <c r="W12" s="243" t="s">
        <v>32</v>
      </c>
      <c r="X12" s="6" t="s">
        <v>33</v>
      </c>
      <c r="Y12" s="10" t="s">
        <v>89</v>
      </c>
      <c r="Z12" s="6" t="s">
        <v>35</v>
      </c>
      <c r="AA12" s="159" t="s">
        <v>65</v>
      </c>
      <c r="AB12" s="66" t="s">
        <v>47</v>
      </c>
      <c r="AC12" s="165" t="s">
        <v>136</v>
      </c>
      <c r="AD12" s="1"/>
      <c r="AE12" s="153" t="s">
        <v>113</v>
      </c>
      <c r="AF12" s="182" t="s">
        <v>130</v>
      </c>
      <c r="AG12" s="189" t="s">
        <v>131</v>
      </c>
      <c r="AH12" s="166" t="s">
        <v>132</v>
      </c>
      <c r="AI12" s="166" t="s">
        <v>133</v>
      </c>
    </row>
    <row r="13" spans="1:35" s="33" customFormat="1" ht="15" customHeight="1">
      <c r="A13" s="124" t="s">
        <v>87</v>
      </c>
      <c r="B13" s="42" t="s">
        <v>58</v>
      </c>
      <c r="C13" s="42" t="s">
        <v>58</v>
      </c>
      <c r="D13" s="43" t="s">
        <v>84</v>
      </c>
      <c r="E13" s="43" t="s">
        <v>84</v>
      </c>
      <c r="F13" s="32" t="s">
        <v>109</v>
      </c>
      <c r="G13" s="32" t="s">
        <v>109</v>
      </c>
      <c r="H13" s="44" t="s">
        <v>30</v>
      </c>
      <c r="I13" s="45" t="s">
        <v>30</v>
      </c>
      <c r="J13" s="32"/>
      <c r="K13" s="46"/>
      <c r="L13" s="45" t="s">
        <v>30</v>
      </c>
      <c r="M13" s="45"/>
      <c r="N13" s="45" t="s">
        <v>30</v>
      </c>
      <c r="O13" s="45" t="s">
        <v>30</v>
      </c>
      <c r="P13" s="45" t="s">
        <v>30</v>
      </c>
      <c r="Q13" s="45" t="s">
        <v>30</v>
      </c>
      <c r="R13" s="58" t="s">
        <v>30</v>
      </c>
      <c r="S13" s="46" t="s">
        <v>30</v>
      </c>
      <c r="T13" s="47" t="s">
        <v>30</v>
      </c>
      <c r="U13" s="47" t="s">
        <v>31</v>
      </c>
      <c r="V13" s="48" t="s">
        <v>30</v>
      </c>
      <c r="W13" s="96" t="s">
        <v>51</v>
      </c>
      <c r="X13" s="42" t="s">
        <v>52</v>
      </c>
      <c r="Y13" s="42" t="s">
        <v>30</v>
      </c>
      <c r="Z13" s="42" t="s">
        <v>53</v>
      </c>
      <c r="AA13" s="160" t="s">
        <v>64</v>
      </c>
      <c r="AB13" s="42" t="s">
        <v>30</v>
      </c>
      <c r="AC13" s="139" t="s">
        <v>135</v>
      </c>
      <c r="AD13" s="140" t="s">
        <v>106</v>
      </c>
      <c r="AE13" s="140" t="s">
        <v>134</v>
      </c>
      <c r="AF13" s="183" t="s">
        <v>64</v>
      </c>
      <c r="AG13" s="190" t="s">
        <v>64</v>
      </c>
      <c r="AH13" s="190" t="s">
        <v>64</v>
      </c>
      <c r="AI13" s="190" t="s">
        <v>64</v>
      </c>
    </row>
    <row r="14" spans="1:35" s="117" customFormat="1" ht="15" customHeight="1">
      <c r="A14" s="125">
        <v>0.002</v>
      </c>
      <c r="B14" s="110">
        <f aca="true" t="shared" si="0" ref="B14:B35">0.25*$E$4*$B$4*(1-($E$5/$B$4)^4)</f>
        <v>-139.04623450103762</v>
      </c>
      <c r="C14" s="132">
        <f aca="true" t="shared" si="1" ref="C14:C35">0.7*$E$4*$B$5</f>
        <v>0.032549999999999996</v>
      </c>
      <c r="D14" s="111">
        <f aca="true" t="shared" si="2" ref="D14:D35">(0.187/(A14*$B$5))*(10^6/SQRT(B14^2+C14^2))</f>
        <v>1344876.368261305</v>
      </c>
      <c r="E14" s="111">
        <f aca="true" t="shared" si="3" ref="E14:E35">$E$3/A14</f>
        <v>80000</v>
      </c>
      <c r="F14" s="147">
        <f>SQRT(($J$5/D14)^2+($J$5/E14)^2+$P$4^2)</f>
        <v>151.80000011899668</v>
      </c>
      <c r="G14" s="147">
        <f aca="true" t="shared" si="4" ref="G14:G35">SQRT(F14^2+$T$9^2)</f>
        <v>200.902463987198</v>
      </c>
      <c r="H14" s="112">
        <f aca="true" t="shared" si="5" ref="H14:H35">-10*LOG10(2*AG14-1)</f>
        <v>0.6167995295532007</v>
      </c>
      <c r="I14" s="110">
        <f aca="true" t="shared" si="6" ref="I14:I35">A14*$P$3*((1/(0.00094*$B$4)^4)+1.05)</f>
        <v>0.008354010892310379</v>
      </c>
      <c r="J14" s="113">
        <f aca="true" t="shared" si="7" ref="J14:J35">(10^-6)*3.14*$E$7*B14*A14*$B$5</f>
        <v>-0.0013643911760414316</v>
      </c>
      <c r="K14" s="110">
        <f aca="true" t="shared" si="8" ref="K14:K35">($B$9/SQRT(2))*(1-EXP(-1*J14^2))</f>
        <v>1.0530582356761152E-06</v>
      </c>
      <c r="L14" s="110">
        <f aca="true" t="shared" si="9" ref="L14:L35">10*LOG10(1/SQRT(1-($J$6*K14)^2))</f>
        <v>1.1924294854754317E-10</v>
      </c>
      <c r="M14" s="110"/>
      <c r="N14" s="110"/>
      <c r="O14" s="110">
        <f aca="true" t="shared" si="10" ref="O14:O35">10*LOG10(1/SQRT(1-($J$6*$J$6*((($J$11/AA14)^2)+M14+(K14*K14)))))-$T$11-L14-N14</f>
        <v>0</v>
      </c>
      <c r="P14" s="110">
        <f aca="true" t="shared" si="11" ref="P14:P35">Y14-Z14</f>
        <v>0</v>
      </c>
      <c r="Q14" s="110">
        <f aca="true" t="shared" si="12" ref="Q14:Q35">$B$10</f>
        <v>0.15</v>
      </c>
      <c r="R14" s="212">
        <f aca="true" t="shared" si="13" ref="R14:R35">-10*LOG10(AA14)-H14</f>
        <v>0.37129019430339194</v>
      </c>
      <c r="S14" s="157">
        <f aca="true" t="shared" si="14" ref="S14:S35">H14+I14+L14+N14+O14+P14+Q14+R14</f>
        <v>1.146443734868146</v>
      </c>
      <c r="T14" s="110">
        <f aca="true" t="shared" si="15" ref="T14:T35">$E$10+I14</f>
        <v>1.5083540108923104</v>
      </c>
      <c r="U14" s="110">
        <f aca="true" t="shared" si="16" ref="U14:U35">S14-I14</f>
        <v>1.1380897239758356</v>
      </c>
      <c r="V14" s="115">
        <f aca="true" t="shared" si="17" ref="V14:V35">$T$6-S14</f>
        <v>5.353556265131854</v>
      </c>
      <c r="W14" s="116">
        <f aca="true" t="shared" si="18" ref="W14:W35">$J$9-T14-R14-P14</f>
        <v>-7.379644205195702</v>
      </c>
      <c r="X14" s="114"/>
      <c r="Y14" s="110">
        <f aca="true" t="shared" si="19" ref="Y14:Y35">10*LOG10((1+10^(-($B$6/10)))/(1-10^(-($B$6/10))))</f>
        <v>1.7566264497877127</v>
      </c>
      <c r="Z14" s="110">
        <f aca="true" t="shared" si="20" ref="Z14:Z35">10*LOG10((1+10^(-($J$10/10)))/(1-10^(-($J$10/10))))</f>
        <v>1.7566264497877127</v>
      </c>
      <c r="AA14" s="184">
        <f>ERF(AH14)+ERF(AI14)-1</f>
        <v>0.796509623978676</v>
      </c>
      <c r="AB14" s="114">
        <f aca="true" t="shared" si="21" ref="AB14:AB35">$E$9-$E$10</f>
        <v>6.5</v>
      </c>
      <c r="AC14" s="141"/>
      <c r="AD14" s="142"/>
      <c r="AE14" s="113"/>
      <c r="AF14" s="187">
        <f aca="true" t="shared" si="22" ref="AF14:AF35">$Z$8*$P$2/(SQRT(8)*G14)</f>
        <v>1.2990050433762292</v>
      </c>
      <c r="AG14" s="191">
        <f>IF(ABS(AF14)&lt;10,SIGN(AF14)*ERF(ABS(AF14)),SIGN(AF14))</f>
        <v>0.9338005031293071</v>
      </c>
      <c r="AH14" s="197">
        <f aca="true" t="shared" si="23" ref="AH14:AH35">MAX(MIN($Z$8*$P$2*($P$9+1)/(SQRT(8)*G14),10),-10)</f>
        <v>1.6598397776474039</v>
      </c>
      <c r="AI14" s="198">
        <f aca="true" t="shared" si="24" ref="AI14:AI35">MAX(MIN($Z$8*$P$2*(1-$P$9)/(SQRT(8)*G14),10),-10)</f>
        <v>0.9381703091050545</v>
      </c>
    </row>
    <row r="15" spans="1:35" s="20" customFormat="1" ht="15" customHeight="1">
      <c r="A15" s="252">
        <f>$J$3</f>
        <v>0.04</v>
      </c>
      <c r="B15" s="97">
        <f t="shared" si="0"/>
        <v>-139.04623450103762</v>
      </c>
      <c r="C15" s="134">
        <f t="shared" si="1"/>
        <v>0.032549999999999996</v>
      </c>
      <c r="D15" s="149">
        <f t="shared" si="2"/>
        <v>67243.81841306525</v>
      </c>
      <c r="E15" s="149">
        <f t="shared" si="3"/>
        <v>4000</v>
      </c>
      <c r="F15" s="107">
        <f aca="true" t="shared" si="25" ref="F15:F35">SQRT((1000*$J$5/D15)^2+(1000*$J$5/E15)^2+$P$4^2)</f>
        <v>193.63417553851298</v>
      </c>
      <c r="G15" s="174">
        <f t="shared" si="4"/>
        <v>234.1212376878263</v>
      </c>
      <c r="H15" s="100">
        <f t="shared" si="5"/>
        <v>1.134308379539468</v>
      </c>
      <c r="I15" s="97">
        <f t="shared" si="6"/>
        <v>0.16708021784620758</v>
      </c>
      <c r="J15" s="97">
        <f t="shared" si="7"/>
        <v>-0.027287823520828633</v>
      </c>
      <c r="K15" s="97">
        <f t="shared" si="8"/>
        <v>0.00042106689834068824</v>
      </c>
      <c r="L15" s="97">
        <f t="shared" si="9"/>
        <v>1.906485588249997E-05</v>
      </c>
      <c r="M15" s="97">
        <f aca="true" t="shared" si="26" ref="M15:M35">$P$5*10^9*($J$5/G15)*10^($B$8/10)</f>
        <v>0.0014351538686465399</v>
      </c>
      <c r="N15" s="97">
        <f aca="true" t="shared" si="27" ref="N15:N35">10*LOG10(1/SQRT(1-($J$6^2)*M15))</f>
        <v>0.1600801800354278</v>
      </c>
      <c r="O15" s="97">
        <f t="shared" si="10"/>
        <v>1.458562969236521E-06</v>
      </c>
      <c r="P15" s="97">
        <f t="shared" si="11"/>
        <v>0</v>
      </c>
      <c r="Q15" s="97">
        <f t="shared" si="12"/>
        <v>0.15</v>
      </c>
      <c r="R15" s="203">
        <f t="shared" si="13"/>
        <v>0.40777050334778475</v>
      </c>
      <c r="S15" s="98">
        <f t="shared" si="14"/>
        <v>2.01925980418774</v>
      </c>
      <c r="T15" s="97">
        <f t="shared" si="15"/>
        <v>1.6670802178462076</v>
      </c>
      <c r="U15" s="97">
        <f t="shared" si="16"/>
        <v>1.8521795863415322</v>
      </c>
      <c r="V15" s="102">
        <f t="shared" si="17"/>
        <v>4.48074019581226</v>
      </c>
      <c r="W15" s="103">
        <f t="shared" si="18"/>
        <v>-7.574850721193992</v>
      </c>
      <c r="X15" s="19"/>
      <c r="Y15" s="18">
        <f t="shared" si="19"/>
        <v>1.7566264497877127</v>
      </c>
      <c r="Z15" s="18">
        <f t="shared" si="20"/>
        <v>1.7566264497877127</v>
      </c>
      <c r="AA15" s="215">
        <f>ERF(AH15)+ERF(AI15)-1</f>
        <v>0.7011196058159515</v>
      </c>
      <c r="AB15" s="101">
        <f t="shared" si="21"/>
        <v>6.5</v>
      </c>
      <c r="AC15" s="192">
        <f aca="true" t="shared" si="28" ref="AC15:AC35">$J$2</f>
        <v>0.1</v>
      </c>
      <c r="AD15" s="194">
        <v>0</v>
      </c>
      <c r="AE15" s="207">
        <f aca="true" t="shared" si="29" ref="AE15:AE35">IF(A15=$J$2,V15,0)</f>
        <v>0</v>
      </c>
      <c r="AF15" s="161">
        <f t="shared" si="22"/>
        <v>1.1146930390572227</v>
      </c>
      <c r="AG15" s="185">
        <f>IF(ABS(AF15)&lt;10,SIGN(AF15)*ERF(ABS(AF15)),SIGN(AF15))</f>
        <v>0.8850695401962473</v>
      </c>
      <c r="AH15" s="200">
        <f t="shared" si="23"/>
        <v>1.4243299943508956</v>
      </c>
      <c r="AI15" s="201">
        <f t="shared" si="24"/>
        <v>0.8050560837635498</v>
      </c>
    </row>
    <row r="16" spans="1:35" s="26" customFormat="1" ht="15" customHeight="1">
      <c r="A16" s="253">
        <f aca="true" t="shared" si="30" ref="A16:A35">A15+$J$4</f>
        <v>0.045</v>
      </c>
      <c r="B16" s="49">
        <f t="shared" si="0"/>
        <v>-139.04623450103762</v>
      </c>
      <c r="C16" s="135">
        <f t="shared" si="1"/>
        <v>0.032549999999999996</v>
      </c>
      <c r="D16" s="150">
        <f t="shared" si="2"/>
        <v>59772.28303383578</v>
      </c>
      <c r="E16" s="150">
        <f t="shared" si="3"/>
        <v>3555.5555555555557</v>
      </c>
      <c r="F16" s="108">
        <f t="shared" si="25"/>
        <v>203.30452177917013</v>
      </c>
      <c r="G16" s="108">
        <f t="shared" si="4"/>
        <v>242.18028114579656</v>
      </c>
      <c r="H16" s="50">
        <f t="shared" si="5"/>
        <v>1.2786685889940697</v>
      </c>
      <c r="I16" s="49">
        <f t="shared" si="6"/>
        <v>0.18796524507698353</v>
      </c>
      <c r="J16" s="49">
        <f t="shared" si="7"/>
        <v>-0.03069880146093221</v>
      </c>
      <c r="K16" s="49">
        <f t="shared" si="8"/>
        <v>0.0005328601005235237</v>
      </c>
      <c r="L16" s="49">
        <f t="shared" si="9"/>
        <v>3.0532254633368846E-05</v>
      </c>
      <c r="M16" s="49">
        <f t="shared" si="26"/>
        <v>0.0013873961926641023</v>
      </c>
      <c r="N16" s="49">
        <f t="shared" si="27"/>
        <v>0.1545589429338244</v>
      </c>
      <c r="O16" s="49">
        <f t="shared" si="10"/>
        <v>2.252420872594918E-06</v>
      </c>
      <c r="P16" s="49">
        <f t="shared" si="11"/>
        <v>0</v>
      </c>
      <c r="Q16" s="49">
        <f t="shared" si="12"/>
        <v>0.15</v>
      </c>
      <c r="R16" s="206">
        <f t="shared" si="13"/>
        <v>0.4126070590541411</v>
      </c>
      <c r="S16" s="53">
        <f t="shared" si="14"/>
        <v>2.1838326207345244</v>
      </c>
      <c r="T16" s="49">
        <f t="shared" si="15"/>
        <v>1.6879652450769835</v>
      </c>
      <c r="U16" s="49">
        <f t="shared" si="16"/>
        <v>1.995867375657541</v>
      </c>
      <c r="V16" s="54">
        <f t="shared" si="17"/>
        <v>4.316167379265476</v>
      </c>
      <c r="W16" s="99">
        <f t="shared" si="18"/>
        <v>-7.600572304131125</v>
      </c>
      <c r="X16" s="25">
        <f aca="true" t="shared" si="31" ref="X16:X34">(V17-V15)/2</f>
        <v>-0.17365083928700287</v>
      </c>
      <c r="Y16" s="23">
        <f t="shared" si="19"/>
        <v>1.7566264497877127</v>
      </c>
      <c r="Z16" s="23">
        <f t="shared" si="20"/>
        <v>1.7566264497877127</v>
      </c>
      <c r="AA16" s="214">
        <f>ERF(AH16)+ERF(AI16)-1</f>
        <v>0.677442494001083</v>
      </c>
      <c r="AB16" s="52">
        <f t="shared" si="21"/>
        <v>6.5</v>
      </c>
      <c r="AC16" s="143">
        <f t="shared" si="28"/>
        <v>0.1</v>
      </c>
      <c r="AD16" s="144">
        <f aca="true" t="shared" si="32" ref="AD16:AD34">AD17</f>
        <v>7.9</v>
      </c>
      <c r="AE16" s="208">
        <f t="shared" si="29"/>
        <v>0</v>
      </c>
      <c r="AF16" s="162">
        <f t="shared" si="22"/>
        <v>1.0775993516539488</v>
      </c>
      <c r="AG16" s="186">
        <f>IF(ABS(AF16)&lt;10,SIGN(AF16)*ERF(ABS(AF16)),SIGN(AF16))</f>
        <v>0.872480160214643</v>
      </c>
      <c r="AH16" s="202">
        <f t="shared" si="23"/>
        <v>1.376932504891157</v>
      </c>
      <c r="AI16" s="202">
        <f t="shared" si="24"/>
        <v>0.7782661984167409</v>
      </c>
    </row>
    <row r="17" spans="1:35" s="26" customFormat="1" ht="15" customHeight="1">
      <c r="A17" s="253">
        <f t="shared" si="30"/>
        <v>0.049999999999999996</v>
      </c>
      <c r="B17" s="49">
        <f t="shared" si="0"/>
        <v>-139.04623450103762</v>
      </c>
      <c r="C17" s="135">
        <f t="shared" si="1"/>
        <v>0.032549999999999996</v>
      </c>
      <c r="D17" s="150">
        <f t="shared" si="2"/>
        <v>53795.054730452204</v>
      </c>
      <c r="E17" s="150">
        <f t="shared" si="3"/>
        <v>3200.0000000000005</v>
      </c>
      <c r="F17" s="108">
        <f t="shared" si="25"/>
        <v>213.59507373942276</v>
      </c>
      <c r="G17" s="108">
        <f t="shared" si="4"/>
        <v>250.88127775055165</v>
      </c>
      <c r="H17" s="50">
        <f t="shared" si="5"/>
        <v>1.441944695778836</v>
      </c>
      <c r="I17" s="49">
        <f t="shared" si="6"/>
        <v>0.20885027230775946</v>
      </c>
      <c r="J17" s="49">
        <f t="shared" si="7"/>
        <v>-0.03410977940103579</v>
      </c>
      <c r="K17" s="49">
        <f t="shared" si="8"/>
        <v>0.0006577792801430042</v>
      </c>
      <c r="L17" s="49">
        <f t="shared" si="9"/>
        <v>4.6525864195380736E-05</v>
      </c>
      <c r="M17" s="49">
        <f t="shared" si="26"/>
        <v>0.0013392788932384222</v>
      </c>
      <c r="N17" s="49">
        <f t="shared" si="27"/>
        <v>0.14901029118943243</v>
      </c>
      <c r="O17" s="49">
        <f t="shared" si="10"/>
        <v>3.3048185259232365E-06</v>
      </c>
      <c r="P17" s="49">
        <f t="shared" si="11"/>
        <v>0</v>
      </c>
      <c r="Q17" s="49">
        <f t="shared" si="12"/>
        <v>0.15</v>
      </c>
      <c r="R17" s="206">
        <f t="shared" si="13"/>
        <v>0.4167063928029966</v>
      </c>
      <c r="S17" s="53">
        <f t="shared" si="14"/>
        <v>2.3665614827617456</v>
      </c>
      <c r="T17" s="49">
        <f t="shared" si="15"/>
        <v>1.7088502723077594</v>
      </c>
      <c r="U17" s="49">
        <f t="shared" si="16"/>
        <v>2.157711210453986</v>
      </c>
      <c r="V17" s="54">
        <f t="shared" si="17"/>
        <v>4.133438517238254</v>
      </c>
      <c r="W17" s="99">
        <f t="shared" si="18"/>
        <v>-7.625556665110756</v>
      </c>
      <c r="X17" s="25">
        <f t="shared" si="31"/>
        <v>-0.1918897998580038</v>
      </c>
      <c r="Y17" s="23">
        <f t="shared" si="19"/>
        <v>1.7566264497877127</v>
      </c>
      <c r="Z17" s="23">
        <f t="shared" si="20"/>
        <v>1.7566264497877127</v>
      </c>
      <c r="AA17" s="214">
        <f>ERF(AH17)+ERF(AI17)-1</f>
        <v>0.6518308201883145</v>
      </c>
      <c r="AB17" s="52">
        <f t="shared" si="21"/>
        <v>6.5</v>
      </c>
      <c r="AC17" s="143">
        <f t="shared" si="28"/>
        <v>0.1</v>
      </c>
      <c r="AD17" s="144">
        <f t="shared" si="32"/>
        <v>7.9</v>
      </c>
      <c r="AE17" s="208">
        <f t="shared" si="29"/>
        <v>0</v>
      </c>
      <c r="AF17" s="162">
        <f t="shared" si="22"/>
        <v>1.040226342459736</v>
      </c>
      <c r="AG17" s="186">
        <f>IF(ABS(AF17)&lt;10,SIGN(AF17)*ERF(ABS(AF17)),SIGN(AF17))</f>
        <v>0.8587364736602092</v>
      </c>
      <c r="AH17" s="202">
        <f t="shared" si="23"/>
        <v>1.329178104254107</v>
      </c>
      <c r="AI17" s="202">
        <f t="shared" si="24"/>
        <v>0.7512745806653649</v>
      </c>
    </row>
    <row r="18" spans="1:35" s="26" customFormat="1" ht="15" customHeight="1">
      <c r="A18" s="253">
        <f t="shared" si="30"/>
        <v>0.05499999999999999</v>
      </c>
      <c r="B18" s="49">
        <f t="shared" si="0"/>
        <v>-139.04623450103762</v>
      </c>
      <c r="C18" s="135">
        <f t="shared" si="1"/>
        <v>0.032549999999999996</v>
      </c>
      <c r="D18" s="150">
        <f t="shared" si="2"/>
        <v>48904.595209502004</v>
      </c>
      <c r="E18" s="150">
        <f t="shared" si="3"/>
        <v>2909.0909090909095</v>
      </c>
      <c r="F18" s="108">
        <f t="shared" si="25"/>
        <v>224.420531115486</v>
      </c>
      <c r="G18" s="108">
        <f t="shared" si="4"/>
        <v>260.15982546534127</v>
      </c>
      <c r="H18" s="50">
        <f t="shared" si="5"/>
        <v>1.62418284508</v>
      </c>
      <c r="I18" s="49">
        <f t="shared" si="6"/>
        <v>0.2297352995385354</v>
      </c>
      <c r="J18" s="49">
        <f t="shared" si="7"/>
        <v>-0.03752075734113936</v>
      </c>
      <c r="K18" s="49">
        <f t="shared" si="8"/>
        <v>0.0007958157229690602</v>
      </c>
      <c r="L18" s="49">
        <f t="shared" si="9"/>
        <v>6.810221829700776E-05</v>
      </c>
      <c r="M18" s="49">
        <f t="shared" si="26"/>
        <v>0.0012915137815725595</v>
      </c>
      <c r="N18" s="49">
        <f t="shared" si="27"/>
        <v>0.143516239357886</v>
      </c>
      <c r="O18" s="49">
        <f t="shared" si="10"/>
        <v>4.653137956778242E-06</v>
      </c>
      <c r="P18" s="49">
        <f t="shared" si="11"/>
        <v>0</v>
      </c>
      <c r="Q18" s="49">
        <f t="shared" si="12"/>
        <v>0.15</v>
      </c>
      <c r="R18" s="206">
        <f t="shared" si="13"/>
        <v>0.4201050811178564</v>
      </c>
      <c r="S18" s="53">
        <f t="shared" si="14"/>
        <v>2.5676122204505316</v>
      </c>
      <c r="T18" s="49">
        <f t="shared" si="15"/>
        <v>1.7297352995385353</v>
      </c>
      <c r="U18" s="49">
        <f t="shared" si="16"/>
        <v>2.337876920911996</v>
      </c>
      <c r="V18" s="54">
        <f t="shared" si="17"/>
        <v>3.9323877795494684</v>
      </c>
      <c r="W18" s="99">
        <f t="shared" si="18"/>
        <v>-7.649840380656391</v>
      </c>
      <c r="X18" s="25">
        <f t="shared" si="31"/>
        <v>-0.21029522160899727</v>
      </c>
      <c r="Y18" s="23">
        <f t="shared" si="19"/>
        <v>1.7566264497877127</v>
      </c>
      <c r="Z18" s="23">
        <f t="shared" si="20"/>
        <v>1.7566264497877127</v>
      </c>
      <c r="AA18" s="214">
        <f>ERF(AH18)+ERF(AI18)-1</f>
        <v>0.6245557447029786</v>
      </c>
      <c r="AB18" s="52">
        <f t="shared" si="21"/>
        <v>6.5</v>
      </c>
      <c r="AC18" s="143">
        <f t="shared" si="28"/>
        <v>0.1</v>
      </c>
      <c r="AD18" s="144">
        <f t="shared" si="32"/>
        <v>7.9</v>
      </c>
      <c r="AE18" s="208">
        <f t="shared" si="29"/>
        <v>0</v>
      </c>
      <c r="AF18" s="162">
        <f t="shared" si="22"/>
        <v>1.0031268797143644</v>
      </c>
      <c r="AG18" s="186">
        <f>IF(ABS(AF18)&lt;10,SIGN(AF18)*ERF(ABS(AF18)),SIGN(AF18))</f>
        <v>0.8439946750282009</v>
      </c>
      <c r="AH18" s="202">
        <f t="shared" si="23"/>
        <v>1.2817732351905768</v>
      </c>
      <c r="AI18" s="202">
        <f t="shared" si="24"/>
        <v>0.7244805242381521</v>
      </c>
    </row>
    <row r="19" spans="1:35" s="26" customFormat="1" ht="15" customHeight="1">
      <c r="A19" s="253">
        <f t="shared" si="30"/>
        <v>0.05999999999999999</v>
      </c>
      <c r="B19" s="49">
        <f t="shared" si="0"/>
        <v>-139.04623450103762</v>
      </c>
      <c r="C19" s="135">
        <f t="shared" si="1"/>
        <v>0.032549999999999996</v>
      </c>
      <c r="D19" s="150">
        <f t="shared" si="2"/>
        <v>44829.21227537684</v>
      </c>
      <c r="E19" s="150">
        <f t="shared" si="3"/>
        <v>2666.666666666667</v>
      </c>
      <c r="F19" s="108">
        <f t="shared" si="25"/>
        <v>235.70720472034623</v>
      </c>
      <c r="G19" s="108">
        <f t="shared" si="4"/>
        <v>269.9563786189895</v>
      </c>
      <c r="H19" s="50">
        <f t="shared" si="5"/>
        <v>1.8253649391883375</v>
      </c>
      <c r="I19" s="49">
        <f t="shared" si="6"/>
        <v>0.25062032676931134</v>
      </c>
      <c r="J19" s="49">
        <f t="shared" si="7"/>
        <v>-0.04093173528124294</v>
      </c>
      <c r="K19" s="49">
        <f t="shared" si="8"/>
        <v>0.0009469598012199821</v>
      </c>
      <c r="L19" s="49">
        <f t="shared" si="9"/>
        <v>9.642777532469642E-05</v>
      </c>
      <c r="M19" s="49">
        <f t="shared" si="26"/>
        <v>0.0012446455302107273</v>
      </c>
      <c r="N19" s="49">
        <f t="shared" si="27"/>
        <v>0.13813882424346594</v>
      </c>
      <c r="O19" s="49">
        <f t="shared" si="10"/>
        <v>6.333750829395912E-06</v>
      </c>
      <c r="P19" s="49">
        <f t="shared" si="11"/>
        <v>0</v>
      </c>
      <c r="Q19" s="49">
        <f t="shared" si="12"/>
        <v>0.15</v>
      </c>
      <c r="R19" s="206">
        <f t="shared" si="13"/>
        <v>0.4229250742524713</v>
      </c>
      <c r="S19" s="53">
        <f t="shared" si="14"/>
        <v>2.7871519259797406</v>
      </c>
      <c r="T19" s="49">
        <f t="shared" si="15"/>
        <v>1.7506203267693112</v>
      </c>
      <c r="U19" s="49">
        <f t="shared" si="16"/>
        <v>2.5365315992104294</v>
      </c>
      <c r="V19" s="54">
        <f t="shared" si="17"/>
        <v>3.7128480740202594</v>
      </c>
      <c r="W19" s="99">
        <f t="shared" si="18"/>
        <v>-7.673545401021783</v>
      </c>
      <c r="X19" s="25">
        <f t="shared" si="31"/>
        <v>-0.22889237603075774</v>
      </c>
      <c r="Y19" s="23">
        <f t="shared" si="19"/>
        <v>1.7566264497877127</v>
      </c>
      <c r="Z19" s="23">
        <f t="shared" si="20"/>
        <v>1.7566264497877127</v>
      </c>
      <c r="AA19" s="214">
        <f>ERF(AH19)+ERF(AI19)-1</f>
        <v>0.5958967250984775</v>
      </c>
      <c r="AB19" s="52">
        <f t="shared" si="21"/>
        <v>6.5</v>
      </c>
      <c r="AC19" s="143">
        <f t="shared" si="28"/>
        <v>0.1</v>
      </c>
      <c r="AD19" s="144">
        <f t="shared" si="32"/>
        <v>7.9</v>
      </c>
      <c r="AE19" s="208">
        <f t="shared" si="29"/>
        <v>0</v>
      </c>
      <c r="AF19" s="162">
        <f t="shared" si="22"/>
        <v>0.9667240140097354</v>
      </c>
      <c r="AG19" s="186">
        <f>IF(ABS(AF19)&lt;10,SIGN(AF19)*ERF(ABS(AF19)),SIGN(AF19))</f>
        <v>0.8284229595811986</v>
      </c>
      <c r="AH19" s="202">
        <f t="shared" si="23"/>
        <v>1.235258462345773</v>
      </c>
      <c r="AI19" s="202">
        <f t="shared" si="24"/>
        <v>0.6981895656736978</v>
      </c>
    </row>
    <row r="20" spans="1:35" s="20" customFormat="1" ht="15" customHeight="1">
      <c r="A20" s="252">
        <f t="shared" si="30"/>
        <v>0.06499999999999999</v>
      </c>
      <c r="B20" s="97">
        <f t="shared" si="0"/>
        <v>-139.04623450103762</v>
      </c>
      <c r="C20" s="134">
        <f t="shared" si="1"/>
        <v>0.032549999999999996</v>
      </c>
      <c r="D20" s="149">
        <f t="shared" si="2"/>
        <v>41380.81133111708</v>
      </c>
      <c r="E20" s="149">
        <f t="shared" si="3"/>
        <v>2461.538461538462</v>
      </c>
      <c r="F20" s="107">
        <f t="shared" si="25"/>
        <v>247.39197690813774</v>
      </c>
      <c r="G20" s="107">
        <f t="shared" si="4"/>
        <v>280.21661306659985</v>
      </c>
      <c r="H20" s="100">
        <f t="shared" si="5"/>
        <v>2.045464899184013</v>
      </c>
      <c r="I20" s="97">
        <f t="shared" si="6"/>
        <v>0.2715053540000873</v>
      </c>
      <c r="J20" s="97">
        <f t="shared" si="7"/>
        <v>-0.044342713221346516</v>
      </c>
      <c r="K20" s="97">
        <f t="shared" si="8"/>
        <v>0.001111200974681645</v>
      </c>
      <c r="L20" s="97">
        <f t="shared" si="9"/>
        <v>0.00013277855035577068</v>
      </c>
      <c r="M20" s="97">
        <f t="shared" si="26"/>
        <v>0.0011990723759127799</v>
      </c>
      <c r="N20" s="97">
        <f t="shared" si="27"/>
        <v>0.1329227404604491</v>
      </c>
      <c r="O20" s="97">
        <f t="shared" si="10"/>
        <v>8.381989007821833E-06</v>
      </c>
      <c r="P20" s="97">
        <f t="shared" si="11"/>
        <v>0</v>
      </c>
      <c r="Q20" s="97">
        <f t="shared" si="12"/>
        <v>0.15</v>
      </c>
      <c r="R20" s="205">
        <f t="shared" si="13"/>
        <v>0.42536281832813394</v>
      </c>
      <c r="S20" s="98">
        <f t="shared" si="14"/>
        <v>3.025396972512047</v>
      </c>
      <c r="T20" s="97">
        <f t="shared" si="15"/>
        <v>1.7715053540000874</v>
      </c>
      <c r="U20" s="97">
        <f t="shared" si="16"/>
        <v>2.7538916185119597</v>
      </c>
      <c r="V20" s="102">
        <f t="shared" si="17"/>
        <v>3.474603027487953</v>
      </c>
      <c r="W20" s="103">
        <f t="shared" si="18"/>
        <v>-7.696868172328221</v>
      </c>
      <c r="X20" s="27">
        <f t="shared" si="31"/>
        <v>-0.24774639956685096</v>
      </c>
      <c r="Y20" s="18">
        <f t="shared" si="19"/>
        <v>1.7566264497877127</v>
      </c>
      <c r="Z20" s="18">
        <f t="shared" si="20"/>
        <v>1.7566264497877127</v>
      </c>
      <c r="AA20" s="216">
        <f>ERF(AH20)+ERF(AI20)-1</f>
        <v>0.5661313803415617</v>
      </c>
      <c r="AB20" s="101">
        <f t="shared" si="21"/>
        <v>6.5</v>
      </c>
      <c r="AC20" s="192">
        <f t="shared" si="28"/>
        <v>0.1</v>
      </c>
      <c r="AD20" s="193">
        <f t="shared" si="32"/>
        <v>7.9</v>
      </c>
      <c r="AE20" s="207">
        <f t="shared" si="29"/>
        <v>0</v>
      </c>
      <c r="AF20" s="161">
        <f t="shared" si="22"/>
        <v>0.9313270583427372</v>
      </c>
      <c r="AG20" s="185">
        <f>IF(ABS(AF20)&lt;10,SIGN(AF20)*ERF(ABS(AF20)),SIGN(AF20))</f>
        <v>0.8121932540023643</v>
      </c>
      <c r="AH20" s="200">
        <f t="shared" si="23"/>
        <v>1.1900290189934974</v>
      </c>
      <c r="AI20" s="200">
        <f t="shared" si="24"/>
        <v>0.672625097691977</v>
      </c>
    </row>
    <row r="21" spans="1:35" s="26" customFormat="1" ht="15" customHeight="1">
      <c r="A21" s="253">
        <f t="shared" si="30"/>
        <v>0.06999999999999999</v>
      </c>
      <c r="B21" s="49">
        <f t="shared" si="0"/>
        <v>-139.04623450103762</v>
      </c>
      <c r="C21" s="135">
        <f t="shared" si="1"/>
        <v>0.032549999999999996</v>
      </c>
      <c r="D21" s="150">
        <f t="shared" si="2"/>
        <v>38425.039093180145</v>
      </c>
      <c r="E21" s="150">
        <f t="shared" si="3"/>
        <v>2285.714285714286</v>
      </c>
      <c r="F21" s="108">
        <f t="shared" si="25"/>
        <v>259.42106011360937</v>
      </c>
      <c r="G21" s="108">
        <f t="shared" si="4"/>
        <v>290.89146847315567</v>
      </c>
      <c r="H21" s="50">
        <f t="shared" si="5"/>
        <v>2.284509057831274</v>
      </c>
      <c r="I21" s="49">
        <f t="shared" si="6"/>
        <v>0.29239038123086325</v>
      </c>
      <c r="J21" s="49">
        <f t="shared" si="7"/>
        <v>-0.0477536911614501</v>
      </c>
      <c r="K21" s="49">
        <f t="shared" si="8"/>
        <v>0.0012885277919325582</v>
      </c>
      <c r="L21" s="49">
        <f t="shared" si="9"/>
        <v>0.00017853972104841013</v>
      </c>
      <c r="M21" s="49">
        <f t="shared" si="26"/>
        <v>0.0011550699708163048</v>
      </c>
      <c r="N21" s="49">
        <f t="shared" si="27"/>
        <v>0.1278982984332689</v>
      </c>
      <c r="O21" s="49">
        <f t="shared" si="10"/>
        <v>1.083220434699994E-05</v>
      </c>
      <c r="P21" s="49">
        <f t="shared" si="11"/>
        <v>0</v>
      </c>
      <c r="Q21" s="49">
        <f t="shared" si="12"/>
        <v>0.15</v>
      </c>
      <c r="R21" s="206">
        <f t="shared" si="13"/>
        <v>0.4276576156926417</v>
      </c>
      <c r="S21" s="53">
        <f t="shared" si="14"/>
        <v>3.2826447251134425</v>
      </c>
      <c r="T21" s="49">
        <f t="shared" si="15"/>
        <v>1.7923903812308632</v>
      </c>
      <c r="U21" s="49">
        <f t="shared" si="16"/>
        <v>2.9902543438825795</v>
      </c>
      <c r="V21" s="54">
        <f t="shared" si="17"/>
        <v>3.2173552748865575</v>
      </c>
      <c r="W21" s="99">
        <f t="shared" si="18"/>
        <v>-7.720047996923505</v>
      </c>
      <c r="X21" s="25">
        <f t="shared" si="31"/>
        <v>-0.26696681626256225</v>
      </c>
      <c r="Y21" s="23">
        <f t="shared" si="19"/>
        <v>1.7566264497877127</v>
      </c>
      <c r="Z21" s="23">
        <f t="shared" si="20"/>
        <v>1.7566264497877127</v>
      </c>
      <c r="AA21" s="214">
        <f>ERF(AH21)+ERF(AI21)-1</f>
        <v>0.5355294178992485</v>
      </c>
      <c r="AB21" s="52">
        <f t="shared" si="21"/>
        <v>6.5</v>
      </c>
      <c r="AC21" s="143">
        <f t="shared" si="28"/>
        <v>0.1</v>
      </c>
      <c r="AD21" s="144">
        <f t="shared" si="32"/>
        <v>7.9</v>
      </c>
      <c r="AE21" s="208">
        <f t="shared" si="29"/>
        <v>0</v>
      </c>
      <c r="AF21" s="162">
        <f t="shared" si="22"/>
        <v>0.8971501134629009</v>
      </c>
      <c r="AG21" s="186">
        <f>IF(ABS(AF21)&lt;10,SIGN(AF21)*ERF(ABS(AF21)),SIGN(AF21))</f>
        <v>0.7954738823344405</v>
      </c>
      <c r="AH21" s="202">
        <f t="shared" si="23"/>
        <v>1.1463584783137066</v>
      </c>
      <c r="AI21" s="202">
        <f t="shared" si="24"/>
        <v>0.6479417486120951</v>
      </c>
    </row>
    <row r="22" spans="1:35" s="26" customFormat="1" ht="15" customHeight="1">
      <c r="A22" s="253">
        <f t="shared" si="30"/>
        <v>0.075</v>
      </c>
      <c r="B22" s="49">
        <f t="shared" si="0"/>
        <v>-139.04623450103762</v>
      </c>
      <c r="C22" s="135">
        <f t="shared" si="1"/>
        <v>0.032549999999999996</v>
      </c>
      <c r="D22" s="150">
        <f t="shared" si="2"/>
        <v>35863.36982030147</v>
      </c>
      <c r="E22" s="150">
        <f t="shared" si="3"/>
        <v>2133.3333333333335</v>
      </c>
      <c r="F22" s="108">
        <f t="shared" si="25"/>
        <v>271.74873492426093</v>
      </c>
      <c r="G22" s="108">
        <f t="shared" si="4"/>
        <v>301.93697178870997</v>
      </c>
      <c r="H22" s="50">
        <f t="shared" si="5"/>
        <v>2.542637358710236</v>
      </c>
      <c r="I22" s="49">
        <f t="shared" si="6"/>
        <v>0.3132754084616392</v>
      </c>
      <c r="J22" s="49">
        <f t="shared" si="7"/>
        <v>-0.051164669101553685</v>
      </c>
      <c r="K22" s="49">
        <f t="shared" si="8"/>
        <v>0.0014789278916746116</v>
      </c>
      <c r="L22" s="49">
        <f t="shared" si="9"/>
        <v>0.00023520520977362354</v>
      </c>
      <c r="M22" s="49">
        <f t="shared" si="26"/>
        <v>0.0011128150289429499</v>
      </c>
      <c r="N22" s="49">
        <f t="shared" si="27"/>
        <v>0.12308430938247725</v>
      </c>
      <c r="O22" s="49">
        <f t="shared" si="10"/>
        <v>1.3717872938065478E-05</v>
      </c>
      <c r="P22" s="49">
        <f t="shared" si="11"/>
        <v>0</v>
      </c>
      <c r="Q22" s="49">
        <f t="shared" si="12"/>
        <v>0.15</v>
      </c>
      <c r="R22" s="206">
        <f t="shared" si="13"/>
        <v>0.4300846054001073</v>
      </c>
      <c r="S22" s="53">
        <f t="shared" si="14"/>
        <v>3.5593306050371716</v>
      </c>
      <c r="T22" s="49">
        <f t="shared" si="15"/>
        <v>1.8132754084616391</v>
      </c>
      <c r="U22" s="49">
        <f t="shared" si="16"/>
        <v>3.2460551965755324</v>
      </c>
      <c r="V22" s="54">
        <f t="shared" si="17"/>
        <v>2.9406693949628284</v>
      </c>
      <c r="W22" s="99">
        <f t="shared" si="18"/>
        <v>-7.743360013861746</v>
      </c>
      <c r="X22" s="25">
        <f t="shared" si="31"/>
        <v>-0.2867182759232525</v>
      </c>
      <c r="Y22" s="23">
        <f t="shared" si="19"/>
        <v>1.7566264497877127</v>
      </c>
      <c r="Z22" s="23">
        <f t="shared" si="20"/>
        <v>1.7566264497877127</v>
      </c>
      <c r="AA22" s="214">
        <f>ERF(AH22)+ERF(AI22)-1</f>
        <v>0.504345097471318</v>
      </c>
      <c r="AB22" s="52">
        <f t="shared" si="21"/>
        <v>6.5</v>
      </c>
      <c r="AC22" s="143">
        <f t="shared" si="28"/>
        <v>0.1</v>
      </c>
      <c r="AD22" s="144">
        <f t="shared" si="32"/>
        <v>7.9</v>
      </c>
      <c r="AE22" s="208">
        <f t="shared" si="29"/>
        <v>0</v>
      </c>
      <c r="AF22" s="162">
        <f t="shared" si="22"/>
        <v>0.8643304342626377</v>
      </c>
      <c r="AG22" s="186">
        <f>IF(ABS(AF22)&lt;10,SIGN(AF22)*ERF(ABS(AF22)),SIGN(AF22))</f>
        <v>0.7784237435369175</v>
      </c>
      <c r="AH22" s="202">
        <f t="shared" si="23"/>
        <v>1.1044222215578148</v>
      </c>
      <c r="AI22" s="202">
        <f t="shared" si="24"/>
        <v>0.6242386469674606</v>
      </c>
    </row>
    <row r="23" spans="1:35" s="26" customFormat="1" ht="15" customHeight="1">
      <c r="A23" s="253">
        <f t="shared" si="30"/>
        <v>0.08</v>
      </c>
      <c r="B23" s="49">
        <f t="shared" si="0"/>
        <v>-139.04623450103762</v>
      </c>
      <c r="C23" s="135">
        <f t="shared" si="1"/>
        <v>0.032549999999999996</v>
      </c>
      <c r="D23" s="150">
        <f t="shared" si="2"/>
        <v>33621.909206532626</v>
      </c>
      <c r="E23" s="150">
        <f t="shared" si="3"/>
        <v>2000</v>
      </c>
      <c r="F23" s="108">
        <f t="shared" si="25"/>
        <v>284.33616679191306</v>
      </c>
      <c r="G23" s="108">
        <f t="shared" si="4"/>
        <v>313.3139252346097</v>
      </c>
      <c r="H23" s="50">
        <f t="shared" si="5"/>
        <v>2.820163690314132</v>
      </c>
      <c r="I23" s="49">
        <f t="shared" si="6"/>
        <v>0.33416043569241516</v>
      </c>
      <c r="J23" s="49">
        <f t="shared" si="7"/>
        <v>-0.054575647041657266</v>
      </c>
      <c r="K23" s="49">
        <f t="shared" si="8"/>
        <v>0.0016823880041691467</v>
      </c>
      <c r="L23" s="49">
        <f t="shared" si="9"/>
        <v>0.00030437724457123153</v>
      </c>
      <c r="M23" s="49">
        <f t="shared" si="26"/>
        <v>0.001072406851206511</v>
      </c>
      <c r="N23" s="49">
        <f t="shared" si="27"/>
        <v>0.11849067843250774</v>
      </c>
      <c r="O23" s="49">
        <f t="shared" si="10"/>
        <v>1.7071714690994333E-05</v>
      </c>
      <c r="P23" s="49">
        <f t="shared" si="11"/>
        <v>0</v>
      </c>
      <c r="Q23" s="49">
        <f t="shared" si="12"/>
        <v>0.15</v>
      </c>
      <c r="R23" s="206">
        <f t="shared" si="13"/>
        <v>0.4329450235616301</v>
      </c>
      <c r="S23" s="53">
        <f t="shared" si="14"/>
        <v>3.8560812769599475</v>
      </c>
      <c r="T23" s="49">
        <f t="shared" si="15"/>
        <v>1.8341604356924153</v>
      </c>
      <c r="U23" s="49">
        <f t="shared" si="16"/>
        <v>3.5219208412675322</v>
      </c>
      <c r="V23" s="54">
        <f t="shared" si="17"/>
        <v>2.6439187230400525</v>
      </c>
      <c r="W23" s="99">
        <f t="shared" si="18"/>
        <v>-7.767105459254045</v>
      </c>
      <c r="X23" s="25">
        <f t="shared" si="31"/>
        <v>-0.3072241006555134</v>
      </c>
      <c r="Y23" s="23">
        <f t="shared" si="19"/>
        <v>1.7566264497877127</v>
      </c>
      <c r="Z23" s="23">
        <f t="shared" si="20"/>
        <v>1.7566264497877127</v>
      </c>
      <c r="AA23" s="214">
        <f>ERF(AH23)+ERF(AI23)-1</f>
        <v>0.47281269477681653</v>
      </c>
      <c r="AB23" s="52">
        <f t="shared" si="21"/>
        <v>6.5</v>
      </c>
      <c r="AC23" s="143">
        <f t="shared" si="28"/>
        <v>0.1</v>
      </c>
      <c r="AD23" s="144">
        <f t="shared" si="32"/>
        <v>7.9</v>
      </c>
      <c r="AE23" s="208">
        <f t="shared" si="29"/>
        <v>0</v>
      </c>
      <c r="AF23" s="162">
        <f t="shared" si="22"/>
        <v>0.8329451483864448</v>
      </c>
      <c r="AG23" s="186">
        <f>IF(ABS(AF23)&lt;10,SIGN(AF23)*ERF(ABS(AF23)),SIGN(AF23))</f>
        <v>0.7611882498447972</v>
      </c>
      <c r="AH23" s="202">
        <f t="shared" si="23"/>
        <v>1.0643188007160127</v>
      </c>
      <c r="AI23" s="202">
        <f t="shared" si="24"/>
        <v>0.6015714960568769</v>
      </c>
    </row>
    <row r="24" spans="1:35" s="26" customFormat="1" ht="15" customHeight="1">
      <c r="A24" s="253">
        <f t="shared" si="30"/>
        <v>0.085</v>
      </c>
      <c r="B24" s="49">
        <f t="shared" si="0"/>
        <v>-139.04623450103762</v>
      </c>
      <c r="C24" s="135">
        <f t="shared" si="1"/>
        <v>0.032549999999999996</v>
      </c>
      <c r="D24" s="150">
        <f t="shared" si="2"/>
        <v>31644.149841442464</v>
      </c>
      <c r="E24" s="150">
        <f t="shared" si="3"/>
        <v>1882.3529411764705</v>
      </c>
      <c r="F24" s="108">
        <f t="shared" si="25"/>
        <v>297.1503472476785</v>
      </c>
      <c r="G24" s="108">
        <f t="shared" si="4"/>
        <v>324.9875210979891</v>
      </c>
      <c r="H24" s="50">
        <f t="shared" si="5"/>
        <v>3.117641495137857</v>
      </c>
      <c r="I24" s="49">
        <f t="shared" si="6"/>
        <v>0.3550454629231911</v>
      </c>
      <c r="J24" s="49">
        <f t="shared" si="7"/>
        <v>-0.05798662498176085</v>
      </c>
      <c r="K24" s="49">
        <f t="shared" si="8"/>
        <v>0.001898893952778346</v>
      </c>
      <c r="L24" s="49">
        <f t="shared" si="9"/>
        <v>0.00038776590167101036</v>
      </c>
      <c r="M24" s="49">
        <f t="shared" si="26"/>
        <v>0.0010338858515699452</v>
      </c>
      <c r="N24" s="49">
        <f t="shared" si="27"/>
        <v>0.11412061216956933</v>
      </c>
      <c r="O24" s="49">
        <f t="shared" si="10"/>
        <v>2.0925811216779278E-05</v>
      </c>
      <c r="P24" s="49">
        <f t="shared" si="11"/>
        <v>0</v>
      </c>
      <c r="Q24" s="49">
        <f t="shared" si="12"/>
        <v>0.15</v>
      </c>
      <c r="R24" s="206">
        <f t="shared" si="13"/>
        <v>0.43656254440469366</v>
      </c>
      <c r="S24" s="53">
        <f t="shared" si="14"/>
        <v>4.173778806348198</v>
      </c>
      <c r="T24" s="49">
        <f t="shared" si="15"/>
        <v>1.8550454629231912</v>
      </c>
      <c r="U24" s="49">
        <f t="shared" si="16"/>
        <v>3.8187333434250075</v>
      </c>
      <c r="V24" s="54">
        <f t="shared" si="17"/>
        <v>2.3262211936518016</v>
      </c>
      <c r="W24" s="99">
        <f t="shared" si="18"/>
        <v>-7.791608007327884</v>
      </c>
      <c r="X24" s="25">
        <f t="shared" si="31"/>
        <v>-0.3287767323132711</v>
      </c>
      <c r="Y24" s="23">
        <f t="shared" si="19"/>
        <v>1.7566264497877127</v>
      </c>
      <c r="Z24" s="23">
        <f t="shared" si="20"/>
        <v>1.7566264497877127</v>
      </c>
      <c r="AA24" s="214">
        <f>ERF(AH24)+ERF(AI24)-1</f>
        <v>0.4411432069700729</v>
      </c>
      <c r="AB24" s="52">
        <f t="shared" si="21"/>
        <v>6.5</v>
      </c>
      <c r="AC24" s="143">
        <f t="shared" si="28"/>
        <v>0.1</v>
      </c>
      <c r="AD24" s="144">
        <f t="shared" si="32"/>
        <v>7.9</v>
      </c>
      <c r="AE24" s="208">
        <f t="shared" si="29"/>
        <v>0</v>
      </c>
      <c r="AF24" s="162">
        <f t="shared" si="22"/>
        <v>0.8030256456136163</v>
      </c>
      <c r="AG24" s="186">
        <f>IF(ABS(AF24)&lt;10,SIGN(AF24)*ERF(ABS(AF24)),SIGN(AF24))</f>
        <v>0.7438966610318327</v>
      </c>
      <c r="AH24" s="202">
        <f t="shared" si="23"/>
        <v>1.026088324950732</v>
      </c>
      <c r="AI24" s="202">
        <f t="shared" si="24"/>
        <v>0.5799629662765007</v>
      </c>
    </row>
    <row r="25" spans="1:35" s="20" customFormat="1" ht="15" customHeight="1">
      <c r="A25" s="252">
        <f t="shared" si="30"/>
        <v>0.09000000000000001</v>
      </c>
      <c r="B25" s="97">
        <f t="shared" si="0"/>
        <v>-139.04623450103762</v>
      </c>
      <c r="C25" s="134">
        <f t="shared" si="1"/>
        <v>0.032549999999999996</v>
      </c>
      <c r="D25" s="149">
        <f t="shared" si="2"/>
        <v>29886.141516917884</v>
      </c>
      <c r="E25" s="149">
        <f t="shared" si="3"/>
        <v>1777.7777777777776</v>
      </c>
      <c r="F25" s="107">
        <f t="shared" si="25"/>
        <v>310.1631736738393</v>
      </c>
      <c r="G25" s="107">
        <f t="shared" si="4"/>
        <v>336.9269272459953</v>
      </c>
      <c r="H25" s="100">
        <f t="shared" si="5"/>
        <v>3.435926941464725</v>
      </c>
      <c r="I25" s="97">
        <f t="shared" si="6"/>
        <v>0.3759304901539671</v>
      </c>
      <c r="J25" s="97">
        <f t="shared" si="7"/>
        <v>-0.06139760292186443</v>
      </c>
      <c r="K25" s="97">
        <f t="shared" si="8"/>
        <v>0.002128430655611445</v>
      </c>
      <c r="L25" s="97">
        <f t="shared" si="9"/>
        <v>0.0004871886325454219</v>
      </c>
      <c r="M25" s="97">
        <f t="shared" si="26"/>
        <v>0.00099724887751308</v>
      </c>
      <c r="N25" s="97">
        <f t="shared" si="27"/>
        <v>0.10997242587353098</v>
      </c>
      <c r="O25" s="97">
        <f t="shared" si="10"/>
        <v>2.5311713188480578E-05</v>
      </c>
      <c r="P25" s="97">
        <f t="shared" si="11"/>
        <v>0</v>
      </c>
      <c r="Q25" s="97">
        <f t="shared" si="12"/>
        <v>0.15</v>
      </c>
      <c r="R25" s="205">
        <f t="shared" si="13"/>
        <v>0.4412923837485323</v>
      </c>
      <c r="S25" s="98">
        <f t="shared" si="14"/>
        <v>4.51363474158649</v>
      </c>
      <c r="T25" s="97">
        <f t="shared" si="15"/>
        <v>1.875930490153967</v>
      </c>
      <c r="U25" s="97">
        <f t="shared" si="16"/>
        <v>4.137704251432522</v>
      </c>
      <c r="V25" s="102">
        <f t="shared" si="17"/>
        <v>1.9863652584135103</v>
      </c>
      <c r="W25" s="103">
        <f t="shared" si="18"/>
        <v>-7.8172228739025</v>
      </c>
      <c r="X25" s="27">
        <f t="shared" si="31"/>
        <v>-0.3517519277162573</v>
      </c>
      <c r="Y25" s="18">
        <f t="shared" si="19"/>
        <v>1.7566264497877127</v>
      </c>
      <c r="Z25" s="18">
        <f t="shared" si="20"/>
        <v>1.7566264497877127</v>
      </c>
      <c r="AA25" s="216">
        <f>ERF(AH25)+ERF(AI25)-1</f>
        <v>0.4095227826087262</v>
      </c>
      <c r="AB25" s="101">
        <f t="shared" si="21"/>
        <v>6.5</v>
      </c>
      <c r="AC25" s="192">
        <f t="shared" si="28"/>
        <v>0.1</v>
      </c>
      <c r="AD25" s="193">
        <f t="shared" si="32"/>
        <v>7.9</v>
      </c>
      <c r="AE25" s="207">
        <f t="shared" si="29"/>
        <v>0</v>
      </c>
      <c r="AF25" s="161">
        <f t="shared" si="22"/>
        <v>0.7745694773619</v>
      </c>
      <c r="AG25" s="185">
        <f>IF(ABS(AF25)&lt;10,SIGN(AF25)*ERF(ABS(AF25)),SIGN(AF25))</f>
        <v>0.7266612660161523</v>
      </c>
      <c r="AH25" s="200">
        <f t="shared" si="23"/>
        <v>0.9897276655179833</v>
      </c>
      <c r="AI25" s="200">
        <f t="shared" si="24"/>
        <v>0.5594112892058167</v>
      </c>
    </row>
    <row r="26" spans="1:35" s="26" customFormat="1" ht="15" customHeight="1">
      <c r="A26" s="253">
        <f t="shared" si="30"/>
        <v>0.09500000000000001</v>
      </c>
      <c r="B26" s="49">
        <f t="shared" si="0"/>
        <v>-139.04623450103762</v>
      </c>
      <c r="C26" s="135">
        <f t="shared" si="1"/>
        <v>0.032549999999999996</v>
      </c>
      <c r="D26" s="150">
        <f t="shared" si="2"/>
        <v>28313.186700237995</v>
      </c>
      <c r="E26" s="150">
        <f t="shared" si="3"/>
        <v>1684.2105263157891</v>
      </c>
      <c r="F26" s="108">
        <f t="shared" si="25"/>
        <v>323.3506642144957</v>
      </c>
      <c r="G26" s="108">
        <f t="shared" si="4"/>
        <v>349.10487256404133</v>
      </c>
      <c r="H26" s="50">
        <f t="shared" si="5"/>
        <v>3.7762580287268936</v>
      </c>
      <c r="I26" s="49">
        <f t="shared" si="6"/>
        <v>0.3968155173847431</v>
      </c>
      <c r="J26" s="49">
        <f t="shared" si="7"/>
        <v>-0.06480858086196802</v>
      </c>
      <c r="K26" s="49">
        <f t="shared" si="8"/>
        <v>0.0023709821272759495</v>
      </c>
      <c r="L26" s="49">
        <f t="shared" si="9"/>
        <v>0.0006045697785665335</v>
      </c>
      <c r="M26" s="49">
        <f t="shared" si="26"/>
        <v>0.0009624615019899577</v>
      </c>
      <c r="N26" s="49">
        <f t="shared" si="27"/>
        <v>0.10604097942618962</v>
      </c>
      <c r="O26" s="49">
        <f t="shared" si="10"/>
        <v>3.0260533679354884E-05</v>
      </c>
      <c r="P26" s="49">
        <f t="shared" si="11"/>
        <v>0</v>
      </c>
      <c r="Q26" s="49">
        <f t="shared" si="12"/>
        <v>0.15</v>
      </c>
      <c r="R26" s="206">
        <f t="shared" si="13"/>
        <v>0.44753330593063945</v>
      </c>
      <c r="S26" s="53">
        <f t="shared" si="14"/>
        <v>4.877282661780713</v>
      </c>
      <c r="T26" s="49">
        <f t="shared" si="15"/>
        <v>1.8968155173847432</v>
      </c>
      <c r="U26" s="49">
        <f t="shared" si="16"/>
        <v>4.48046714439597</v>
      </c>
      <c r="V26" s="54">
        <f t="shared" si="17"/>
        <v>1.622717338219287</v>
      </c>
      <c r="W26" s="99">
        <f t="shared" si="18"/>
        <v>-7.844348823315382</v>
      </c>
      <c r="X26" s="25">
        <f t="shared" si="31"/>
        <v>-0.37663138426433607</v>
      </c>
      <c r="Y26" s="23">
        <f t="shared" si="19"/>
        <v>1.7566264497877127</v>
      </c>
      <c r="Z26" s="23">
        <f t="shared" si="20"/>
        <v>1.7566264497877127</v>
      </c>
      <c r="AA26" s="214">
        <f>ERF(AH26)+ERF(AI26)-1</f>
        <v>0.3781123534000299</v>
      </c>
      <c r="AB26" s="52">
        <f t="shared" si="21"/>
        <v>6.5</v>
      </c>
      <c r="AC26" s="143">
        <f t="shared" si="28"/>
        <v>0.1</v>
      </c>
      <c r="AD26" s="144">
        <f t="shared" si="32"/>
        <v>7.9</v>
      </c>
      <c r="AE26" s="208">
        <f t="shared" si="29"/>
        <v>0</v>
      </c>
      <c r="AF26" s="162">
        <f t="shared" si="22"/>
        <v>0.7475499039281022</v>
      </c>
      <c r="AG26" s="186">
        <f>IF(ABS(AF26)&lt;10,SIGN(AF26)*ERF(ABS(AF26)),SIGN(AF26))</f>
        <v>0.7095772809164145</v>
      </c>
      <c r="AH26" s="202">
        <f t="shared" si="23"/>
        <v>0.9552026550192416</v>
      </c>
      <c r="AI26" s="202">
        <f t="shared" si="24"/>
        <v>0.5398971528369627</v>
      </c>
    </row>
    <row r="27" spans="1:35" s="26" customFormat="1" ht="15" customHeight="1">
      <c r="A27" s="253">
        <f t="shared" si="30"/>
        <v>0.10000000000000002</v>
      </c>
      <c r="B27" s="49">
        <f t="shared" si="0"/>
        <v>-139.04623450103762</v>
      </c>
      <c r="C27" s="135">
        <f t="shared" si="1"/>
        <v>0.032549999999999996</v>
      </c>
      <c r="D27" s="150">
        <f t="shared" si="2"/>
        <v>26897.527365226095</v>
      </c>
      <c r="E27" s="150">
        <f t="shared" si="3"/>
        <v>1599.9999999999998</v>
      </c>
      <c r="F27" s="108">
        <f t="shared" si="25"/>
        <v>336.6922958771077</v>
      </c>
      <c r="G27" s="108">
        <f t="shared" si="4"/>
        <v>361.4972504777842</v>
      </c>
      <c r="H27" s="50">
        <f t="shared" si="5"/>
        <v>4.140355606239627</v>
      </c>
      <c r="I27" s="49">
        <f t="shared" si="6"/>
        <v>0.41770054461551903</v>
      </c>
      <c r="J27" s="49">
        <f t="shared" si="7"/>
        <v>-0.06821955880207159</v>
      </c>
      <c r="K27" s="49">
        <f t="shared" si="8"/>
        <v>0.002626531480732795</v>
      </c>
      <c r="L27" s="49">
        <f t="shared" si="9"/>
        <v>0.000741940076601497</v>
      </c>
      <c r="M27" s="49">
        <f t="shared" si="26"/>
        <v>0.0009294676503235227</v>
      </c>
      <c r="N27" s="49">
        <f t="shared" si="27"/>
        <v>0.10231879095935288</v>
      </c>
      <c r="O27" s="49">
        <f t="shared" si="10"/>
        <v>3.5803027012240585E-05</v>
      </c>
      <c r="P27" s="49">
        <f t="shared" si="11"/>
        <v>0</v>
      </c>
      <c r="Q27" s="49">
        <f t="shared" si="12"/>
        <v>0.15</v>
      </c>
      <c r="R27" s="206">
        <f t="shared" si="13"/>
        <v>0.4557448251970495</v>
      </c>
      <c r="S27" s="53">
        <f t="shared" si="14"/>
        <v>5.266897510115162</v>
      </c>
      <c r="T27" s="49">
        <f t="shared" si="15"/>
        <v>1.917700544615519</v>
      </c>
      <c r="U27" s="49">
        <f t="shared" si="16"/>
        <v>4.849196965499643</v>
      </c>
      <c r="V27" s="54">
        <f t="shared" si="17"/>
        <v>1.2331024898848382</v>
      </c>
      <c r="W27" s="99">
        <f t="shared" si="18"/>
        <v>-7.873445369812568</v>
      </c>
      <c r="X27" s="25">
        <f t="shared" si="31"/>
        <v>-0.4040375555460103</v>
      </c>
      <c r="Y27" s="23">
        <f t="shared" si="19"/>
        <v>1.7566264497877127</v>
      </c>
      <c r="Z27" s="23">
        <f t="shared" si="20"/>
        <v>1.7566264497877127</v>
      </c>
      <c r="AA27" s="214">
        <f>ERF(AH27)+ERF(AI27)-1</f>
        <v>0.34704832835565314</v>
      </c>
      <c r="AB27" s="52">
        <f t="shared" si="21"/>
        <v>6.5</v>
      </c>
      <c r="AC27" s="143">
        <f t="shared" si="28"/>
        <v>0.1</v>
      </c>
      <c r="AD27" s="144">
        <f t="shared" si="32"/>
        <v>7.9</v>
      </c>
      <c r="AE27" s="208">
        <f t="shared" si="29"/>
        <v>1.2331024898848382</v>
      </c>
      <c r="AF27" s="162">
        <f t="shared" si="22"/>
        <v>0.7219233717577599</v>
      </c>
      <c r="AG27" s="186">
        <f>IF(ABS(AF27)&lt;10,SIGN(AF27)*ERF(ABS(AF27)),SIGN(AF27))</f>
        <v>0.6927233977323879</v>
      </c>
      <c r="AH27" s="202">
        <f t="shared" si="23"/>
        <v>0.922457641690471</v>
      </c>
      <c r="AI27" s="202">
        <f t="shared" si="24"/>
        <v>0.5213891018250488</v>
      </c>
    </row>
    <row r="28" spans="1:35" s="26" customFormat="1" ht="15" customHeight="1">
      <c r="A28" s="253">
        <f t="shared" si="30"/>
        <v>0.10500000000000002</v>
      </c>
      <c r="B28" s="49">
        <f t="shared" si="0"/>
        <v>-139.04623450103762</v>
      </c>
      <c r="C28" s="135">
        <f t="shared" si="1"/>
        <v>0.032549999999999996</v>
      </c>
      <c r="D28" s="150">
        <f t="shared" si="2"/>
        <v>25616.692728786755</v>
      </c>
      <c r="E28" s="150">
        <f t="shared" si="3"/>
        <v>1523.8095238095234</v>
      </c>
      <c r="F28" s="108">
        <f t="shared" si="25"/>
        <v>350.170450593072</v>
      </c>
      <c r="G28" s="108">
        <f t="shared" si="4"/>
        <v>374.08275083002036</v>
      </c>
      <c r="H28" s="50">
        <f t="shared" si="5"/>
        <v>4.530533720290891</v>
      </c>
      <c r="I28" s="49">
        <f t="shared" si="6"/>
        <v>0.438585571846295</v>
      </c>
      <c r="J28" s="49">
        <f t="shared" si="7"/>
        <v>-0.07163053674217518</v>
      </c>
      <c r="K28" s="49">
        <f t="shared" si="8"/>
        <v>0.0028950609292561972</v>
      </c>
      <c r="L28" s="49">
        <f t="shared" si="9"/>
        <v>0.0009014361589635453</v>
      </c>
      <c r="M28" s="49">
        <f t="shared" si="26"/>
        <v>0.0008981969878442089</v>
      </c>
      <c r="N28" s="49">
        <f t="shared" si="27"/>
        <v>0.0987968828585212</v>
      </c>
      <c r="O28" s="49">
        <f t="shared" si="10"/>
        <v>4.196965424221877E-05</v>
      </c>
      <c r="P28" s="49">
        <f t="shared" si="11"/>
        <v>0</v>
      </c>
      <c r="Q28" s="49">
        <f t="shared" si="12"/>
        <v>0.15</v>
      </c>
      <c r="R28" s="206">
        <f t="shared" si="13"/>
        <v>0.4664981920638187</v>
      </c>
      <c r="S28" s="53">
        <f t="shared" si="14"/>
        <v>5.685357772872734</v>
      </c>
      <c r="T28" s="49">
        <f t="shared" si="15"/>
        <v>1.938585571846295</v>
      </c>
      <c r="U28" s="49">
        <f t="shared" si="16"/>
        <v>5.246772201026438</v>
      </c>
      <c r="V28" s="54">
        <f t="shared" si="17"/>
        <v>0.8146422271272664</v>
      </c>
      <c r="W28" s="99">
        <f t="shared" si="18"/>
        <v>-7.905083763910113</v>
      </c>
      <c r="X28" s="25">
        <f t="shared" si="31"/>
        <v>-0.434787624741531</v>
      </c>
      <c r="Y28" s="23">
        <f t="shared" si="19"/>
        <v>1.7566264497877127</v>
      </c>
      <c r="Z28" s="23">
        <f t="shared" si="20"/>
        <v>1.7566264497877127</v>
      </c>
      <c r="AA28" s="214">
        <f>ERF(AH28)+ERF(AI28)-1</f>
        <v>0.3164439586159342</v>
      </c>
      <c r="AB28" s="52">
        <f t="shared" si="21"/>
        <v>6.5</v>
      </c>
      <c r="AC28" s="143">
        <f t="shared" si="28"/>
        <v>0.1</v>
      </c>
      <c r="AD28" s="144">
        <f t="shared" si="32"/>
        <v>7.9</v>
      </c>
      <c r="AE28" s="208">
        <f t="shared" si="29"/>
        <v>0</v>
      </c>
      <c r="AF28" s="162">
        <f t="shared" si="22"/>
        <v>0.6976352514705101</v>
      </c>
      <c r="AG28" s="186">
        <f>IF(ABS(AF28)&lt;10,SIGN(AF28)*ERF(ABS(AF28)),SIGN(AF28))</f>
        <v>0.6761637847824068</v>
      </c>
      <c r="AH28" s="202">
        <f t="shared" si="23"/>
        <v>0.8914228213234295</v>
      </c>
      <c r="AI28" s="202">
        <f t="shared" si="24"/>
        <v>0.5038476816175906</v>
      </c>
    </row>
    <row r="29" spans="1:35" s="26" customFormat="1" ht="15" customHeight="1">
      <c r="A29" s="253">
        <f t="shared" si="30"/>
        <v>0.11000000000000003</v>
      </c>
      <c r="B29" s="49">
        <f t="shared" si="0"/>
        <v>-139.04623450103762</v>
      </c>
      <c r="C29" s="135">
        <f t="shared" si="1"/>
        <v>0.032549999999999996</v>
      </c>
      <c r="D29" s="150">
        <f t="shared" si="2"/>
        <v>24452.29760475099</v>
      </c>
      <c r="E29" s="150">
        <f t="shared" si="3"/>
        <v>1454.5454545454543</v>
      </c>
      <c r="F29" s="108">
        <f t="shared" si="25"/>
        <v>363.76995360341044</v>
      </c>
      <c r="G29" s="108">
        <f t="shared" si="4"/>
        <v>386.8425249951553</v>
      </c>
      <c r="H29" s="50">
        <f t="shared" si="5"/>
        <v>4.949910372545002</v>
      </c>
      <c r="I29" s="49">
        <f t="shared" si="6"/>
        <v>0.45947059907707094</v>
      </c>
      <c r="J29" s="49">
        <f t="shared" si="7"/>
        <v>-0.07504151468227875</v>
      </c>
      <c r="K29" s="49">
        <f t="shared" si="8"/>
        <v>0.0031765517884964423</v>
      </c>
      <c r="L29" s="49">
        <f t="shared" si="9"/>
        <v>0.0010853000513558926</v>
      </c>
      <c r="M29" s="49">
        <f t="shared" si="26"/>
        <v>0.0008685704861537856</v>
      </c>
      <c r="N29" s="49">
        <f t="shared" si="27"/>
        <v>0.09546541231644104</v>
      </c>
      <c r="O29" s="49">
        <f t="shared" si="10"/>
        <v>4.8790637168921736E-05</v>
      </c>
      <c r="P29" s="49">
        <f t="shared" si="11"/>
        <v>0</v>
      </c>
      <c r="Q29" s="49">
        <f t="shared" si="12"/>
        <v>0.15</v>
      </c>
      <c r="R29" s="206">
        <f t="shared" si="13"/>
        <v>0.48049228497118435</v>
      </c>
      <c r="S29" s="53">
        <f t="shared" si="14"/>
        <v>6.136472759598224</v>
      </c>
      <c r="T29" s="49">
        <f t="shared" si="15"/>
        <v>1.9594705990770709</v>
      </c>
      <c r="U29" s="49">
        <f t="shared" si="16"/>
        <v>5.677002160521153</v>
      </c>
      <c r="V29" s="54">
        <f t="shared" si="17"/>
        <v>0.3635272404017762</v>
      </c>
      <c r="W29" s="99">
        <f t="shared" si="18"/>
        <v>-7.9399628840482555</v>
      </c>
      <c r="X29" s="25">
        <f t="shared" si="31"/>
        <v>-0.46997863268452056</v>
      </c>
      <c r="Y29" s="23">
        <f t="shared" si="19"/>
        <v>1.7566264497877127</v>
      </c>
      <c r="Z29" s="23">
        <f t="shared" si="20"/>
        <v>1.7566264497877127</v>
      </c>
      <c r="AA29" s="214">
        <f>ERF(AH29)+ERF(AI29)-1</f>
        <v>0.28639124290412243</v>
      </c>
      <c r="AB29" s="52">
        <f t="shared" si="21"/>
        <v>6.5</v>
      </c>
      <c r="AC29" s="143">
        <f t="shared" si="28"/>
        <v>0.1</v>
      </c>
      <c r="AD29" s="144">
        <f t="shared" si="32"/>
        <v>7.9</v>
      </c>
      <c r="AE29" s="208">
        <f t="shared" si="29"/>
        <v>0</v>
      </c>
      <c r="AF29" s="162">
        <f t="shared" si="22"/>
        <v>0.6746241612122396</v>
      </c>
      <c r="AG29" s="186">
        <f>IF(ABS(AF29)&lt;10,SIGN(AF29)*ERF(ABS(AF29)),SIGN(AF29))</f>
        <v>0.6599480563759919</v>
      </c>
      <c r="AH29" s="202">
        <f t="shared" si="23"/>
        <v>0.8620197615489728</v>
      </c>
      <c r="AI29" s="202">
        <f t="shared" si="24"/>
        <v>0.48722856087550637</v>
      </c>
    </row>
    <row r="30" spans="1:35" s="20" customFormat="1" ht="15" customHeight="1">
      <c r="A30" s="252">
        <f t="shared" si="30"/>
        <v>0.11500000000000003</v>
      </c>
      <c r="B30" s="97">
        <f t="shared" si="0"/>
        <v>-139.04623450103762</v>
      </c>
      <c r="C30" s="134">
        <f t="shared" si="1"/>
        <v>0.032549999999999996</v>
      </c>
      <c r="D30" s="149">
        <f t="shared" si="2"/>
        <v>23389.154230631382</v>
      </c>
      <c r="E30" s="149">
        <f t="shared" si="3"/>
        <v>1391.3043478260865</v>
      </c>
      <c r="F30" s="107">
        <f t="shared" si="25"/>
        <v>377.4776895807415</v>
      </c>
      <c r="G30" s="107">
        <f t="shared" si="4"/>
        <v>399.7598855953592</v>
      </c>
      <c r="H30" s="100">
        <f t="shared" si="5"/>
        <v>5.402613351261688</v>
      </c>
      <c r="I30" s="97">
        <f t="shared" si="6"/>
        <v>0.48035562630784695</v>
      </c>
      <c r="J30" s="97">
        <f t="shared" si="7"/>
        <v>-0.07845249262238234</v>
      </c>
      <c r="K30" s="97">
        <f t="shared" si="8"/>
        <v>0.0034709844786471144</v>
      </c>
      <c r="L30" s="97">
        <f t="shared" si="9"/>
        <v>0.0012958786725879375</v>
      </c>
      <c r="M30" s="97">
        <f t="shared" si="26"/>
        <v>0.0008405045431199228</v>
      </c>
      <c r="N30" s="97">
        <f t="shared" si="27"/>
        <v>0.0923141324595779</v>
      </c>
      <c r="O30" s="97">
        <f t="shared" si="10"/>
        <v>5.629600285499137E-05</v>
      </c>
      <c r="P30" s="97">
        <f t="shared" si="11"/>
        <v>0</v>
      </c>
      <c r="Q30" s="97">
        <f t="shared" si="12"/>
        <v>0.15</v>
      </c>
      <c r="R30" s="205">
        <f t="shared" si="13"/>
        <v>0.4986797535372194</v>
      </c>
      <c r="S30" s="98">
        <f t="shared" si="14"/>
        <v>6.625315038241775</v>
      </c>
      <c r="T30" s="97">
        <f t="shared" si="15"/>
        <v>1.980355626307847</v>
      </c>
      <c r="U30" s="97">
        <f t="shared" si="16"/>
        <v>6.144959411933928</v>
      </c>
      <c r="V30" s="102">
        <f t="shared" si="17"/>
        <v>-0.1253150382417747</v>
      </c>
      <c r="W30" s="103">
        <f t="shared" si="18"/>
        <v>-7.979035379845066</v>
      </c>
      <c r="X30" s="27">
        <f t="shared" si="31"/>
        <v>-0.511125260986967</v>
      </c>
      <c r="Y30" s="18">
        <f t="shared" si="19"/>
        <v>1.7566264497877127</v>
      </c>
      <c r="Z30" s="18">
        <f t="shared" si="20"/>
        <v>1.7566264497877127</v>
      </c>
      <c r="AA30" s="216">
        <f>ERF(AH30)+ERF(AI30)-1</f>
        <v>0.2569630565506693</v>
      </c>
      <c r="AB30" s="101">
        <f t="shared" si="21"/>
        <v>6.5</v>
      </c>
      <c r="AC30" s="192">
        <f t="shared" si="28"/>
        <v>0.1</v>
      </c>
      <c r="AD30" s="193">
        <f t="shared" si="32"/>
        <v>7.9</v>
      </c>
      <c r="AE30" s="207">
        <f t="shared" si="29"/>
        <v>0</v>
      </c>
      <c r="AF30" s="161">
        <f t="shared" si="22"/>
        <v>0.6528251666807838</v>
      </c>
      <c r="AG30" s="185">
        <f>IF(ABS(AF30)&lt;10,SIGN(AF30)*ERF(ABS(AF30)),SIGN(AF30))</f>
        <v>0.6441148284849032</v>
      </c>
      <c r="AH30" s="200">
        <f t="shared" si="23"/>
        <v>0.8341654907587793</v>
      </c>
      <c r="AI30" s="200">
        <f t="shared" si="24"/>
        <v>0.4714848426027884</v>
      </c>
    </row>
    <row r="31" spans="1:35" s="26" customFormat="1" ht="15" customHeight="1">
      <c r="A31" s="253">
        <f t="shared" si="30"/>
        <v>0.12000000000000004</v>
      </c>
      <c r="B31" s="49">
        <f t="shared" si="0"/>
        <v>-139.04623450103762</v>
      </c>
      <c r="C31" s="135">
        <f t="shared" si="1"/>
        <v>0.032549999999999996</v>
      </c>
      <c r="D31" s="150">
        <f t="shared" si="2"/>
        <v>22414.60613768841</v>
      </c>
      <c r="E31" s="150">
        <f t="shared" si="3"/>
        <v>1333.333333333333</v>
      </c>
      <c r="F31" s="108">
        <f t="shared" si="25"/>
        <v>391.28228356049664</v>
      </c>
      <c r="G31" s="108">
        <f t="shared" si="4"/>
        <v>412.82004000328874</v>
      </c>
      <c r="H31" s="50">
        <f t="shared" si="5"/>
        <v>5.894177355039143</v>
      </c>
      <c r="I31" s="49">
        <f t="shared" si="6"/>
        <v>0.5012406535386229</v>
      </c>
      <c r="J31" s="49">
        <f t="shared" si="7"/>
        <v>-0.08186347056248591</v>
      </c>
      <c r="K31" s="49">
        <f t="shared" si="8"/>
        <v>0.0037783385267146333</v>
      </c>
      <c r="L31" s="49">
        <f t="shared" si="9"/>
        <v>0.0015356233399855387</v>
      </c>
      <c r="M31" s="49">
        <f t="shared" si="26"/>
        <v>0.000813913975681324</v>
      </c>
      <c r="N31" s="49">
        <f t="shared" si="27"/>
        <v>0.08933272266214412</v>
      </c>
      <c r="O31" s="49">
        <f t="shared" si="10"/>
        <v>6.45156206586367E-05</v>
      </c>
      <c r="P31" s="49">
        <f t="shared" si="11"/>
        <v>0</v>
      </c>
      <c r="Q31" s="49">
        <f t="shared" si="12"/>
        <v>0.15</v>
      </c>
      <c r="R31" s="206">
        <f t="shared" si="13"/>
        <v>0.5223724113716042</v>
      </c>
      <c r="S31" s="53">
        <f t="shared" si="14"/>
        <v>7.158723281572158</v>
      </c>
      <c r="T31" s="49">
        <f t="shared" si="15"/>
        <v>2.001240653538623</v>
      </c>
      <c r="U31" s="49">
        <f t="shared" si="16"/>
        <v>6.657482628033534</v>
      </c>
      <c r="V31" s="54">
        <f t="shared" si="17"/>
        <v>-0.6587232815721578</v>
      </c>
      <c r="W31" s="99">
        <f t="shared" si="18"/>
        <v>-8.023613064910228</v>
      </c>
      <c r="X31" s="25">
        <f t="shared" si="31"/>
        <v>-0.5603936921064907</v>
      </c>
      <c r="Y31" s="23">
        <f t="shared" si="19"/>
        <v>1.7566264497877127</v>
      </c>
      <c r="Z31" s="23">
        <f t="shared" si="20"/>
        <v>1.7566264497877127</v>
      </c>
      <c r="AA31" s="214">
        <f>ERF(AH31)+ERF(AI31)-1</f>
        <v>0.22821543996266325</v>
      </c>
      <c r="AB31" s="52">
        <f t="shared" si="21"/>
        <v>6.5</v>
      </c>
      <c r="AC31" s="143">
        <f t="shared" si="28"/>
        <v>0.1</v>
      </c>
      <c r="AD31" s="144">
        <f t="shared" si="32"/>
        <v>7.9</v>
      </c>
      <c r="AE31" s="208">
        <f t="shared" si="29"/>
        <v>0</v>
      </c>
      <c r="AF31" s="162">
        <f t="shared" si="22"/>
        <v>0.6321721056565045</v>
      </c>
      <c r="AG31" s="186">
        <f>IF(ABS(AF31)&lt;10,SIGN(AF31)*ERF(ABS(AF31)),SIGN(AF31))</f>
        <v>0.6286922129206612</v>
      </c>
      <c r="AH31" s="202">
        <f t="shared" si="23"/>
        <v>0.8077754683388668</v>
      </c>
      <c r="AI31" s="202">
        <f t="shared" si="24"/>
        <v>0.4565687429741421</v>
      </c>
    </row>
    <row r="32" spans="1:35" s="26" customFormat="1" ht="15" customHeight="1">
      <c r="A32" s="253">
        <f t="shared" si="30"/>
        <v>0.12500000000000003</v>
      </c>
      <c r="B32" s="49">
        <f t="shared" si="0"/>
        <v>-139.04623450103762</v>
      </c>
      <c r="C32" s="135">
        <f t="shared" si="1"/>
        <v>0.032549999999999996</v>
      </c>
      <c r="D32" s="150">
        <f t="shared" si="2"/>
        <v>21518.021892180877</v>
      </c>
      <c r="E32" s="150">
        <f t="shared" si="3"/>
        <v>1279.9999999999998</v>
      </c>
      <c r="F32" s="108">
        <f t="shared" si="25"/>
        <v>405.1738355766992</v>
      </c>
      <c r="G32" s="108">
        <f t="shared" si="4"/>
        <v>426.0098555619742</v>
      </c>
      <c r="H32" s="50">
        <f t="shared" si="5"/>
        <v>6.43210931517431</v>
      </c>
      <c r="I32" s="49">
        <f t="shared" si="6"/>
        <v>0.5221256807693988</v>
      </c>
      <c r="J32" s="49">
        <f t="shared" si="7"/>
        <v>-0.08527444850258949</v>
      </c>
      <c r="K32" s="49">
        <f t="shared" si="8"/>
        <v>0.004098592568891043</v>
      </c>
      <c r="L32" s="49">
        <f t="shared" si="9"/>
        <v>0.001807089284604793</v>
      </c>
      <c r="M32" s="49">
        <f t="shared" si="26"/>
        <v>0.0007887141473681708</v>
      </c>
      <c r="N32" s="49">
        <f t="shared" si="27"/>
        <v>0.08651101938034561</v>
      </c>
      <c r="O32" s="49">
        <f t="shared" si="10"/>
        <v>7.347923343842266E-05</v>
      </c>
      <c r="P32" s="49">
        <f t="shared" si="11"/>
        <v>0</v>
      </c>
      <c r="Q32" s="49">
        <f t="shared" si="12"/>
        <v>0.15</v>
      </c>
      <c r="R32" s="206">
        <f t="shared" si="13"/>
        <v>0.5534758386126573</v>
      </c>
      <c r="S32" s="53">
        <f t="shared" si="14"/>
        <v>7.746102422454756</v>
      </c>
      <c r="T32" s="49">
        <f t="shared" si="15"/>
        <v>2.022125680769399</v>
      </c>
      <c r="U32" s="49">
        <f t="shared" si="16"/>
        <v>7.223976741685357</v>
      </c>
      <c r="V32" s="54">
        <f t="shared" si="17"/>
        <v>-1.246102422454756</v>
      </c>
      <c r="W32" s="99">
        <f t="shared" si="18"/>
        <v>-8.075601519382056</v>
      </c>
      <c r="X32" s="25">
        <f t="shared" si="31"/>
        <v>-0.621007360748937</v>
      </c>
      <c r="Y32" s="23">
        <f t="shared" si="19"/>
        <v>1.7566264497877127</v>
      </c>
      <c r="Z32" s="23">
        <f t="shared" si="20"/>
        <v>1.7566264497877127</v>
      </c>
      <c r="AA32" s="214">
        <f>ERF(AH32)+ERF(AI32)-1</f>
        <v>0.20018958746958737</v>
      </c>
      <c r="AB32" s="52">
        <f t="shared" si="21"/>
        <v>6.5</v>
      </c>
      <c r="AC32" s="143">
        <f t="shared" si="28"/>
        <v>0.1</v>
      </c>
      <c r="AD32" s="144">
        <f t="shared" si="32"/>
        <v>7.9</v>
      </c>
      <c r="AE32" s="208">
        <f t="shared" si="29"/>
        <v>0</v>
      </c>
      <c r="AF32" s="162">
        <f t="shared" si="22"/>
        <v>0.6125992404608023</v>
      </c>
      <c r="AG32" s="186">
        <f>IF(ABS(AF32)&lt;10,SIGN(AF32)*ERF(ABS(AF32)),SIGN(AF32))</f>
        <v>0.613699635603778</v>
      </c>
      <c r="AH32" s="202">
        <f t="shared" si="23"/>
        <v>0.7827656961443583</v>
      </c>
      <c r="AI32" s="202">
        <f t="shared" si="24"/>
        <v>0.44243278477724607</v>
      </c>
    </row>
    <row r="33" spans="1:35" s="26" customFormat="1" ht="15" customHeight="1">
      <c r="A33" s="253">
        <f t="shared" si="30"/>
        <v>0.13000000000000003</v>
      </c>
      <c r="B33" s="49">
        <f t="shared" si="0"/>
        <v>-139.04623450103762</v>
      </c>
      <c r="C33" s="135">
        <f t="shared" si="1"/>
        <v>0.032549999999999996</v>
      </c>
      <c r="D33" s="150">
        <f t="shared" si="2"/>
        <v>20690.40566555853</v>
      </c>
      <c r="E33" s="150">
        <f t="shared" si="3"/>
        <v>1230.7692307692305</v>
      </c>
      <c r="F33" s="108">
        <f t="shared" si="25"/>
        <v>419.1436996473481</v>
      </c>
      <c r="G33" s="108">
        <f t="shared" si="4"/>
        <v>439.3176538156262</v>
      </c>
      <c r="H33" s="50">
        <f t="shared" si="5"/>
        <v>7.026805263739985</v>
      </c>
      <c r="I33" s="49">
        <f t="shared" si="6"/>
        <v>0.5430107080001748</v>
      </c>
      <c r="J33" s="49">
        <f t="shared" si="7"/>
        <v>-0.08868542644269307</v>
      </c>
      <c r="K33" s="49">
        <f t="shared" si="8"/>
        <v>0.004431724353028725</v>
      </c>
      <c r="L33" s="49">
        <f t="shared" si="9"/>
        <v>0.00211293518046693</v>
      </c>
      <c r="M33" s="49">
        <f t="shared" si="26"/>
        <v>0.0007648224401676633</v>
      </c>
      <c r="N33" s="49">
        <f t="shared" si="27"/>
        <v>0.0838391723311682</v>
      </c>
      <c r="O33" s="49">
        <f t="shared" si="10"/>
        <v>8.321648446799057E-05</v>
      </c>
      <c r="P33" s="49">
        <f t="shared" si="11"/>
        <v>0</v>
      </c>
      <c r="Q33" s="49">
        <f t="shared" si="12"/>
        <v>0.15</v>
      </c>
      <c r="R33" s="206">
        <f t="shared" si="13"/>
        <v>0.59488670733377</v>
      </c>
      <c r="S33" s="53">
        <f t="shared" si="14"/>
        <v>8.400738003070032</v>
      </c>
      <c r="T33" s="49">
        <f t="shared" si="15"/>
        <v>2.0430107080001747</v>
      </c>
      <c r="U33" s="49">
        <f t="shared" si="16"/>
        <v>7.857727295069857</v>
      </c>
      <c r="V33" s="54">
        <f t="shared" si="17"/>
        <v>-1.9007380030700318</v>
      </c>
      <c r="W33" s="99">
        <f t="shared" si="18"/>
        <v>-8.137897415333946</v>
      </c>
      <c r="X33" s="25">
        <f t="shared" si="31"/>
        <v>-0.6980086684677511</v>
      </c>
      <c r="Y33" s="23">
        <f t="shared" si="19"/>
        <v>1.7566264497877127</v>
      </c>
      <c r="Z33" s="23">
        <f t="shared" si="20"/>
        <v>1.7566264497877127</v>
      </c>
      <c r="AA33" s="214">
        <f>ERF(AH33)+ERF(AI33)-1</f>
        <v>0.1729142570043991</v>
      </c>
      <c r="AB33" s="52">
        <f t="shared" si="21"/>
        <v>6.5</v>
      </c>
      <c r="AC33" s="143">
        <f t="shared" si="28"/>
        <v>0.1</v>
      </c>
      <c r="AD33" s="144">
        <f t="shared" si="32"/>
        <v>7.9</v>
      </c>
      <c r="AE33" s="208">
        <f t="shared" si="29"/>
        <v>0</v>
      </c>
      <c r="AF33" s="162">
        <f t="shared" si="22"/>
        <v>0.5940424011633443</v>
      </c>
      <c r="AG33" s="186">
        <f>IF(ABS(AF33)&lt;10,SIGN(AF33)*ERF(ABS(AF33)),SIGN(AF33))</f>
        <v>0.5991492601742542</v>
      </c>
      <c r="AH33" s="202">
        <f t="shared" si="23"/>
        <v>0.7590541792642732</v>
      </c>
      <c r="AI33" s="202">
        <f t="shared" si="24"/>
        <v>0.42903062306241535</v>
      </c>
    </row>
    <row r="34" spans="1:35" s="26" customFormat="1" ht="15" customHeight="1">
      <c r="A34" s="253">
        <f t="shared" si="30"/>
        <v>0.13500000000000004</v>
      </c>
      <c r="B34" s="49">
        <f t="shared" si="0"/>
        <v>-139.04623450103762</v>
      </c>
      <c r="C34" s="135">
        <f t="shared" si="1"/>
        <v>0.032549999999999996</v>
      </c>
      <c r="D34" s="150">
        <f t="shared" si="2"/>
        <v>19924.09434461192</v>
      </c>
      <c r="E34" s="150">
        <f t="shared" si="3"/>
        <v>1185.1851851851848</v>
      </c>
      <c r="F34" s="108">
        <f t="shared" si="25"/>
        <v>433.18429932618017</v>
      </c>
      <c r="G34" s="108">
        <f t="shared" si="4"/>
        <v>452.7330308059195</v>
      </c>
      <c r="H34" s="50">
        <f t="shared" si="5"/>
        <v>7.693096773000896</v>
      </c>
      <c r="I34" s="49">
        <f t="shared" si="6"/>
        <v>0.5638957352309507</v>
      </c>
      <c r="J34" s="49">
        <f t="shared" si="7"/>
        <v>-0.09209640438279666</v>
      </c>
      <c r="K34" s="49">
        <f t="shared" si="8"/>
        <v>0.004777710741217301</v>
      </c>
      <c r="L34" s="49">
        <f t="shared" si="9"/>
        <v>0.0024559226922057768</v>
      </c>
      <c r="M34" s="49">
        <f t="shared" si="26"/>
        <v>0.0007421592354370067</v>
      </c>
      <c r="N34" s="49">
        <f t="shared" si="27"/>
        <v>0.08130774533713477</v>
      </c>
      <c r="O34" s="49">
        <f t="shared" si="10"/>
        <v>9.375694123452127E-05</v>
      </c>
      <c r="P34" s="49">
        <f t="shared" si="11"/>
        <v>0</v>
      </c>
      <c r="Q34" s="49">
        <f t="shared" si="12"/>
        <v>0.15</v>
      </c>
      <c r="R34" s="206">
        <f t="shared" si="13"/>
        <v>0.6512698261878356</v>
      </c>
      <c r="S34" s="53">
        <f t="shared" si="14"/>
        <v>9.142119759390258</v>
      </c>
      <c r="T34" s="49">
        <f t="shared" si="15"/>
        <v>2.063895735230951</v>
      </c>
      <c r="U34" s="49">
        <f t="shared" si="16"/>
        <v>8.578224024159308</v>
      </c>
      <c r="V34" s="54">
        <f t="shared" si="17"/>
        <v>-2.6421197593902583</v>
      </c>
      <c r="W34" s="99">
        <f t="shared" si="18"/>
        <v>-8.215165561418786</v>
      </c>
      <c r="X34" s="25">
        <f t="shared" si="31"/>
        <v>-0.7997966732050124</v>
      </c>
      <c r="Y34" s="23">
        <f t="shared" si="19"/>
        <v>1.7566264497877127</v>
      </c>
      <c r="Z34" s="23">
        <f t="shared" si="20"/>
        <v>1.7566264497877127</v>
      </c>
      <c r="AA34" s="214">
        <f>ERF(AH34)+ERF(AI34)-1</f>
        <v>0.14640750513626455</v>
      </c>
      <c r="AB34" s="52">
        <f t="shared" si="21"/>
        <v>6.5</v>
      </c>
      <c r="AC34" s="143">
        <f t="shared" si="28"/>
        <v>0.1</v>
      </c>
      <c r="AD34" s="144">
        <f t="shared" si="32"/>
        <v>7.9</v>
      </c>
      <c r="AE34" s="208">
        <f t="shared" si="29"/>
        <v>0</v>
      </c>
      <c r="AF34" s="162">
        <f t="shared" si="22"/>
        <v>0.5764397474633504</v>
      </c>
      <c r="AG34" s="186">
        <f>IF(ABS(AF34)&lt;10,SIGN(AF34)*ERF(ABS(AF34)),SIGN(AF34))</f>
        <v>0.585047260135681</v>
      </c>
      <c r="AH34" s="202">
        <f t="shared" si="23"/>
        <v>0.7365618995365032</v>
      </c>
      <c r="AI34" s="202">
        <f t="shared" si="24"/>
        <v>0.41631759539019747</v>
      </c>
    </row>
    <row r="35" spans="1:35" s="79" customFormat="1" ht="15" customHeight="1">
      <c r="A35" s="254">
        <f t="shared" si="30"/>
        <v>0.14000000000000004</v>
      </c>
      <c r="B35" s="74">
        <f t="shared" si="0"/>
        <v>-139.04623450103762</v>
      </c>
      <c r="C35" s="136">
        <f t="shared" si="1"/>
        <v>0.032549999999999996</v>
      </c>
      <c r="D35" s="151">
        <f t="shared" si="2"/>
        <v>19212.519546590065</v>
      </c>
      <c r="E35" s="151">
        <f t="shared" si="3"/>
        <v>1142.8571428571424</v>
      </c>
      <c r="F35" s="109">
        <f t="shared" si="25"/>
        <v>447.2889733962552</v>
      </c>
      <c r="G35" s="109">
        <f t="shared" si="4"/>
        <v>466.2467004943583</v>
      </c>
      <c r="H35" s="75">
        <f t="shared" si="5"/>
        <v>8.453026097229216</v>
      </c>
      <c r="I35" s="74">
        <f t="shared" si="6"/>
        <v>0.5847807624617267</v>
      </c>
      <c r="J35" s="74">
        <f t="shared" si="7"/>
        <v>-0.09550738232290024</v>
      </c>
      <c r="K35" s="74">
        <f t="shared" si="8"/>
        <v>0.0051365277124622065</v>
      </c>
      <c r="L35" s="74">
        <f t="shared" si="9"/>
        <v>0.00283891604567334</v>
      </c>
      <c r="M35" s="74">
        <f t="shared" si="26"/>
        <v>0.0007206485314399895</v>
      </c>
      <c r="N35" s="74">
        <f t="shared" si="27"/>
        <v>0.07890777666951851</v>
      </c>
      <c r="O35" s="74">
        <f t="shared" si="10"/>
        <v>0.00010513011713758624</v>
      </c>
      <c r="P35" s="74">
        <f t="shared" si="11"/>
        <v>0</v>
      </c>
      <c r="Q35" s="74">
        <f t="shared" si="12"/>
        <v>0.15</v>
      </c>
      <c r="R35" s="204">
        <f t="shared" si="13"/>
        <v>0.7306726669567833</v>
      </c>
      <c r="S35" s="77">
        <f t="shared" si="14"/>
        <v>10.000331349480057</v>
      </c>
      <c r="T35" s="74">
        <f t="shared" si="15"/>
        <v>2.084780762461727</v>
      </c>
      <c r="U35" s="74">
        <f t="shared" si="16"/>
        <v>9.41555058701833</v>
      </c>
      <c r="V35" s="102">
        <f t="shared" si="17"/>
        <v>-3.5003313494800565</v>
      </c>
      <c r="W35" s="104">
        <f t="shared" si="18"/>
        <v>-8.315453429418511</v>
      </c>
      <c r="X35" s="78"/>
      <c r="Y35" s="74">
        <f t="shared" si="19"/>
        <v>1.7566264497877127</v>
      </c>
      <c r="Z35" s="74">
        <f t="shared" si="20"/>
        <v>1.7566264497877127</v>
      </c>
      <c r="AA35" s="163">
        <f>ERF(AH35)+ERF(AI35)-1</f>
        <v>0.12067856118860876</v>
      </c>
      <c r="AB35" s="76">
        <f t="shared" si="21"/>
        <v>6.5</v>
      </c>
      <c r="AC35" s="195">
        <f t="shared" si="28"/>
        <v>0.1</v>
      </c>
      <c r="AD35" s="196">
        <f>ROUNDUP(E9,0)-0.1</f>
        <v>7.9</v>
      </c>
      <c r="AE35" s="209">
        <f t="shared" si="29"/>
        <v>0</v>
      </c>
      <c r="AF35" s="163">
        <f t="shared" si="22"/>
        <v>0.5597322483341397</v>
      </c>
      <c r="AG35" s="188">
        <f>IF(ABS(AF35)&lt;10,SIGN(AF35)*ERF(ABS(AF35)),SIGN(AF35))</f>
        <v>0.5713949336971342</v>
      </c>
      <c r="AH35" s="199">
        <f t="shared" si="23"/>
        <v>0.7152134284269563</v>
      </c>
      <c r="AI35" s="199">
        <f t="shared" si="24"/>
        <v>0.4042510682413232</v>
      </c>
    </row>
    <row r="36" spans="1:31" ht="15" customHeight="1">
      <c r="A36" s="2"/>
      <c r="B36" s="1"/>
      <c r="C36" s="1"/>
      <c r="D36" s="8"/>
      <c r="E36" s="1"/>
      <c r="F36" s="1"/>
      <c r="G36" s="2"/>
      <c r="H36" s="4"/>
      <c r="I36" s="4"/>
      <c r="J36" s="4"/>
      <c r="K36" s="4"/>
      <c r="L36" s="1"/>
      <c r="M36" s="4"/>
      <c r="N36" s="4"/>
      <c r="O36" s="4"/>
      <c r="P36" s="4"/>
      <c r="Q36" s="4"/>
      <c r="R36" s="55"/>
      <c r="S36" s="13"/>
      <c r="U36" s="13"/>
      <c r="V36" s="13"/>
      <c r="W36" s="14"/>
      <c r="AA36" s="5"/>
      <c r="AB36" s="6"/>
      <c r="AE36" s="210">
        <f>SUM(AE15:AE35)</f>
        <v>1.2331024898848382</v>
      </c>
    </row>
    <row r="37" spans="1:27" s="26" customFormat="1" ht="15" customHeight="1">
      <c r="A37" s="80" t="s">
        <v>69</v>
      </c>
      <c r="B37" s="22"/>
      <c r="C37" s="22"/>
      <c r="D37" s="21"/>
      <c r="E37" s="22"/>
      <c r="F37" s="22"/>
      <c r="G37" s="28"/>
      <c r="W37" s="31"/>
      <c r="X37" s="31"/>
      <c r="AA37" s="167"/>
    </row>
    <row r="38" spans="1:28" s="26" customFormat="1" ht="15" customHeight="1">
      <c r="A38" s="29" t="s">
        <v>120</v>
      </c>
      <c r="B38" s="22"/>
      <c r="C38" s="22"/>
      <c r="D38" s="21"/>
      <c r="E38" s="22"/>
      <c r="F38" s="22"/>
      <c r="G38" s="28"/>
      <c r="K38" s="23"/>
      <c r="L38" s="22"/>
      <c r="M38" s="23"/>
      <c r="N38" s="23"/>
      <c r="O38" s="23"/>
      <c r="P38" s="23"/>
      <c r="Q38" s="23"/>
      <c r="R38" s="59"/>
      <c r="S38" s="23"/>
      <c r="T38" s="30"/>
      <c r="U38" s="23"/>
      <c r="W38" s="31"/>
      <c r="X38" s="31"/>
      <c r="AA38" s="167"/>
      <c r="AB38" s="24"/>
    </row>
    <row r="39" spans="1:28" s="26" customFormat="1" ht="15" customHeight="1">
      <c r="A39" s="23"/>
      <c r="B39" s="168"/>
      <c r="C39" s="169"/>
      <c r="D39" s="169"/>
      <c r="E39" s="169"/>
      <c r="F39" s="169"/>
      <c r="G39" s="169"/>
      <c r="H39" s="169"/>
      <c r="I39" s="169"/>
      <c r="J39" s="169"/>
      <c r="K39" s="169"/>
      <c r="L39" s="22"/>
      <c r="M39" s="23"/>
      <c r="N39" s="23"/>
      <c r="O39" s="23"/>
      <c r="P39" s="23"/>
      <c r="Q39" s="23"/>
      <c r="R39" s="59"/>
      <c r="S39" s="23"/>
      <c r="T39" s="30"/>
      <c r="U39" s="23"/>
      <c r="W39" s="31"/>
      <c r="X39" s="31"/>
      <c r="AA39" s="167"/>
      <c r="AB39" s="24"/>
    </row>
    <row r="40" spans="1:28" s="26" customFormat="1" ht="15" customHeight="1">
      <c r="A40" s="29"/>
      <c r="B40" s="22"/>
      <c r="C40" s="22"/>
      <c r="D40" s="21"/>
      <c r="E40" s="22"/>
      <c r="F40" s="22"/>
      <c r="G40" s="28"/>
      <c r="H40" s="23"/>
      <c r="I40" s="23"/>
      <c r="J40" s="23"/>
      <c r="K40" s="23"/>
      <c r="L40" s="22"/>
      <c r="M40" s="23"/>
      <c r="N40" s="23"/>
      <c r="O40" s="23"/>
      <c r="P40" s="23"/>
      <c r="Q40" s="23"/>
      <c r="R40" s="59"/>
      <c r="S40" s="23"/>
      <c r="T40" s="30"/>
      <c r="U40" s="23"/>
      <c r="W40" s="31"/>
      <c r="X40" s="31"/>
      <c r="AA40" s="167"/>
      <c r="AB40" s="24"/>
    </row>
    <row r="41" spans="1:28" s="26" customFormat="1" ht="15" customHeight="1">
      <c r="A41" s="24"/>
      <c r="B41" s="22"/>
      <c r="C41" s="22"/>
      <c r="D41" s="21"/>
      <c r="E41" s="22"/>
      <c r="F41" s="22"/>
      <c r="G41" s="28"/>
      <c r="H41" s="23"/>
      <c r="I41" s="23"/>
      <c r="J41" s="23"/>
      <c r="K41" s="23"/>
      <c r="L41" s="22"/>
      <c r="M41" s="23"/>
      <c r="N41" s="23"/>
      <c r="O41" s="23"/>
      <c r="P41" s="23"/>
      <c r="Q41" s="23"/>
      <c r="R41" s="59"/>
      <c r="S41" s="23"/>
      <c r="T41" s="30"/>
      <c r="U41" s="23"/>
      <c r="W41" s="31"/>
      <c r="X41" s="31"/>
      <c r="AA41" s="167"/>
      <c r="AB41" s="24"/>
    </row>
    <row r="42" spans="1:28" s="26" customFormat="1" ht="15" customHeight="1">
      <c r="A42" s="24"/>
      <c r="B42" s="22"/>
      <c r="C42" s="22"/>
      <c r="D42" s="21"/>
      <c r="E42" s="22"/>
      <c r="F42" s="22"/>
      <c r="G42" s="28"/>
      <c r="H42" s="23"/>
      <c r="I42" s="23"/>
      <c r="J42" s="23"/>
      <c r="K42" s="23"/>
      <c r="L42" s="22"/>
      <c r="M42" s="23"/>
      <c r="N42" s="23"/>
      <c r="O42" s="23"/>
      <c r="P42" s="23"/>
      <c r="Q42" s="23"/>
      <c r="R42" s="59"/>
      <c r="S42" s="23"/>
      <c r="T42" s="30"/>
      <c r="U42" s="23"/>
      <c r="W42" s="31"/>
      <c r="X42" s="31"/>
      <c r="AA42" s="167"/>
      <c r="AB42" s="24"/>
    </row>
    <row r="43" spans="1:28" s="26" customFormat="1" ht="15" customHeight="1">
      <c r="A43" s="28"/>
      <c r="D43" s="21"/>
      <c r="E43" s="22"/>
      <c r="F43" s="22"/>
      <c r="G43" s="28"/>
      <c r="H43" s="23"/>
      <c r="I43" s="23"/>
      <c r="J43" s="23"/>
      <c r="K43" s="23"/>
      <c r="L43" s="22"/>
      <c r="M43" s="23"/>
      <c r="N43" s="23"/>
      <c r="O43" s="23"/>
      <c r="P43" s="23"/>
      <c r="Q43" s="23"/>
      <c r="R43" s="59"/>
      <c r="S43" s="23"/>
      <c r="T43" s="30"/>
      <c r="U43" s="23"/>
      <c r="W43" s="31"/>
      <c r="X43" s="31"/>
      <c r="AA43" s="167"/>
      <c r="AB43" s="24"/>
    </row>
    <row r="44" spans="1:28" s="26" customFormat="1" ht="15" customHeight="1">
      <c r="A44" s="28"/>
      <c r="B44" s="22"/>
      <c r="D44" s="21"/>
      <c r="E44" s="22"/>
      <c r="F44" s="22"/>
      <c r="G44" s="28"/>
      <c r="H44" s="23"/>
      <c r="I44" s="23"/>
      <c r="J44" s="23"/>
      <c r="K44" s="23"/>
      <c r="L44" s="22"/>
      <c r="M44" s="23"/>
      <c r="N44" s="23"/>
      <c r="O44" s="23"/>
      <c r="P44" s="23"/>
      <c r="Q44" s="23"/>
      <c r="R44" s="59"/>
      <c r="S44" s="23"/>
      <c r="T44" s="30"/>
      <c r="U44" s="23"/>
      <c r="W44" s="31"/>
      <c r="X44" s="31"/>
      <c r="AA44" s="167"/>
      <c r="AB44" s="24"/>
    </row>
    <row r="45" spans="1:28" s="26" customFormat="1" ht="15" customHeight="1">
      <c r="A45" s="28"/>
      <c r="B45" s="22"/>
      <c r="D45" s="21"/>
      <c r="E45" s="22"/>
      <c r="F45" s="22"/>
      <c r="G45" s="28"/>
      <c r="H45" s="23"/>
      <c r="I45" s="23"/>
      <c r="J45" s="23"/>
      <c r="K45" s="23"/>
      <c r="L45" s="22"/>
      <c r="M45" s="23"/>
      <c r="N45" s="23"/>
      <c r="O45" s="23"/>
      <c r="P45" s="23"/>
      <c r="Q45" s="23"/>
      <c r="R45" s="59"/>
      <c r="S45" s="23"/>
      <c r="T45" s="30"/>
      <c r="U45" s="23"/>
      <c r="W45" s="31"/>
      <c r="X45" s="31"/>
      <c r="AA45" s="167"/>
      <c r="AB45" s="24"/>
    </row>
    <row r="46" spans="1:28" ht="15" customHeight="1">
      <c r="A46" s="28"/>
      <c r="B46" s="22"/>
      <c r="D46" s="8"/>
      <c r="E46" s="1"/>
      <c r="F46" s="1"/>
      <c r="G46" s="2"/>
      <c r="H46" s="4"/>
      <c r="I46" s="4"/>
      <c r="J46" s="4"/>
      <c r="K46" s="4"/>
      <c r="L46" s="1"/>
      <c r="M46" s="4"/>
      <c r="N46" s="4"/>
      <c r="O46" s="4"/>
      <c r="P46" s="4"/>
      <c r="Q46" s="4"/>
      <c r="R46" s="55"/>
      <c r="S46" s="4"/>
      <c r="U46" s="4"/>
      <c r="AB46" s="6"/>
    </row>
    <row r="47" spans="1:28" ht="15" customHeight="1">
      <c r="A47" s="2"/>
      <c r="B47" s="22"/>
      <c r="C47" s="1"/>
      <c r="D47" s="8"/>
      <c r="E47" s="1"/>
      <c r="F47" s="1"/>
      <c r="G47" s="2"/>
      <c r="H47" s="4"/>
      <c r="I47" s="4"/>
      <c r="J47" s="4"/>
      <c r="K47" s="4"/>
      <c r="L47" s="1"/>
      <c r="M47" s="4"/>
      <c r="N47" s="1"/>
      <c r="O47" s="1"/>
      <c r="P47" s="1"/>
      <c r="Q47" s="4"/>
      <c r="R47" s="55"/>
      <c r="S47" s="4"/>
      <c r="U47" s="4"/>
      <c r="AB47" s="6"/>
    </row>
    <row r="48" spans="1:28" ht="15" customHeight="1">
      <c r="A48" s="2"/>
      <c r="B48" s="22"/>
      <c r="C48" s="1"/>
      <c r="D48" s="8"/>
      <c r="E48" s="1"/>
      <c r="F48" s="1"/>
      <c r="G48" s="2"/>
      <c r="H48" s="4"/>
      <c r="I48" s="4"/>
      <c r="J48" s="4"/>
      <c r="K48" s="4"/>
      <c r="L48" s="1"/>
      <c r="M48" s="4"/>
      <c r="N48" s="1"/>
      <c r="O48" s="1"/>
      <c r="P48" s="1"/>
      <c r="Q48" s="1"/>
      <c r="R48" s="60"/>
      <c r="S48" s="4"/>
      <c r="U48" s="4"/>
      <c r="AB48" s="6"/>
    </row>
    <row r="49" spans="1:28" ht="15" customHeight="1">
      <c r="A49" s="24"/>
      <c r="B49" s="22"/>
      <c r="C49" s="1"/>
      <c r="D49" s="8"/>
      <c r="E49" s="1"/>
      <c r="F49" s="1"/>
      <c r="G49" s="2"/>
      <c r="H49" s="4"/>
      <c r="I49" s="4"/>
      <c r="J49" s="4"/>
      <c r="K49" s="4"/>
      <c r="L49" s="1"/>
      <c r="M49" s="4"/>
      <c r="N49" s="1"/>
      <c r="O49" s="1"/>
      <c r="P49" s="1"/>
      <c r="Q49" s="4"/>
      <c r="R49" s="55"/>
      <c r="S49" s="4"/>
      <c r="U49" s="4"/>
      <c r="AB49" s="6"/>
    </row>
    <row r="50" spans="1:16" ht="15" customHeight="1">
      <c r="A50" s="15"/>
      <c r="B50" s="148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4"/>
      <c r="O50" s="4"/>
      <c r="P50" s="4"/>
    </row>
    <row r="51" spans="1:16" ht="15" customHeight="1">
      <c r="A51" s="24"/>
      <c r="B51" s="148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4"/>
      <c r="O51" s="4"/>
      <c r="P51" s="4"/>
    </row>
    <row r="52" spans="1:16" ht="15" customHeight="1">
      <c r="A52" s="15"/>
      <c r="B52" s="148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4"/>
      <c r="O52" s="4"/>
      <c r="P52" s="4"/>
    </row>
    <row r="53" spans="1:16" ht="1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4"/>
      <c r="O53" s="4"/>
      <c r="P53" s="4"/>
    </row>
    <row r="54" spans="1:16" ht="1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4"/>
      <c r="O54" s="4"/>
      <c r="P54" s="4"/>
    </row>
    <row r="55" spans="1:16" ht="1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4"/>
      <c r="O55" s="4"/>
      <c r="P55" s="4"/>
    </row>
    <row r="56" spans="1:16" ht="1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4"/>
      <c r="O56" s="4"/>
      <c r="P56" s="4"/>
    </row>
    <row r="57" spans="1:16" ht="1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4"/>
      <c r="O57" s="4"/>
      <c r="P57" s="4"/>
    </row>
    <row r="58" spans="1:16" ht="1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4"/>
      <c r="O58" s="4"/>
      <c r="P58" s="4"/>
    </row>
    <row r="59" spans="1:16" ht="1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4"/>
      <c r="O59" s="4"/>
      <c r="P59" s="4"/>
    </row>
    <row r="60" spans="1:16" ht="1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4"/>
      <c r="O60" s="4"/>
      <c r="P60" s="4"/>
    </row>
    <row r="61" spans="1:16" ht="1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4"/>
      <c r="O61" s="4"/>
      <c r="P61" s="4"/>
    </row>
    <row r="62" spans="1:16" ht="1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4"/>
      <c r="O62" s="4"/>
      <c r="P62" s="4"/>
    </row>
    <row r="63" spans="1:16" ht="1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4"/>
      <c r="O63" s="4"/>
      <c r="P63" s="4"/>
    </row>
    <row r="64" spans="1:16" ht="1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4"/>
      <c r="O64" s="4"/>
      <c r="P64" s="4"/>
    </row>
    <row r="65" spans="1:16" ht="1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4"/>
      <c r="O65" s="4"/>
      <c r="P65" s="4"/>
    </row>
    <row r="66" spans="1:16" ht="15" customHeight="1">
      <c r="A66" s="2"/>
      <c r="B66" s="1"/>
      <c r="C66" s="1"/>
      <c r="D66" s="8"/>
      <c r="E66" s="1"/>
      <c r="F66" s="1"/>
      <c r="G66" s="2"/>
      <c r="H66" s="4"/>
      <c r="I66" s="4"/>
      <c r="J66" s="4"/>
      <c r="K66" s="4"/>
      <c r="L66" s="1"/>
      <c r="M66" s="4"/>
      <c r="N66" s="4"/>
      <c r="O66" s="4"/>
      <c r="P66" s="4"/>
    </row>
    <row r="67" spans="1:16" ht="15" customHeight="1">
      <c r="A67" s="2"/>
      <c r="B67" s="1"/>
      <c r="C67" s="1"/>
      <c r="D67" s="8"/>
      <c r="E67" s="1"/>
      <c r="F67" s="1"/>
      <c r="G67" s="2"/>
      <c r="H67" s="4"/>
      <c r="I67" s="4"/>
      <c r="J67" s="4"/>
      <c r="K67" s="4"/>
      <c r="L67" s="1"/>
      <c r="M67" s="4"/>
      <c r="N67" s="4"/>
      <c r="O67" s="4"/>
      <c r="P67" s="4"/>
    </row>
    <row r="68" spans="1:16" ht="15" customHeight="1">
      <c r="A68" s="2"/>
      <c r="B68" s="1"/>
      <c r="C68" s="1"/>
      <c r="D68" s="8"/>
      <c r="E68" s="1"/>
      <c r="F68" s="1"/>
      <c r="G68" s="2"/>
      <c r="H68" s="4"/>
      <c r="I68" s="4"/>
      <c r="J68" s="4"/>
      <c r="K68" s="4"/>
      <c r="L68" s="1"/>
      <c r="M68" s="4"/>
      <c r="N68" s="4"/>
      <c r="O68" s="4"/>
      <c r="P68" s="4"/>
    </row>
    <row r="69" spans="1:16" ht="15" customHeight="1">
      <c r="A69" s="2"/>
      <c r="B69" s="1"/>
      <c r="C69" s="1"/>
      <c r="D69" s="8"/>
      <c r="E69" s="1"/>
      <c r="F69" s="1"/>
      <c r="G69" s="2"/>
      <c r="H69" s="4"/>
      <c r="I69" s="4"/>
      <c r="J69" s="4"/>
      <c r="K69" s="4"/>
      <c r="L69" s="1"/>
      <c r="M69" s="4"/>
      <c r="N69" s="4"/>
      <c r="O69" s="4"/>
      <c r="P69" s="4"/>
    </row>
    <row r="70" spans="1:16" ht="15" customHeight="1">
      <c r="A70" s="2"/>
      <c r="B70" s="1"/>
      <c r="C70" s="1"/>
      <c r="D70" s="8"/>
      <c r="E70" s="1"/>
      <c r="F70" s="1"/>
      <c r="G70" s="2"/>
      <c r="H70" s="4"/>
      <c r="I70" s="4"/>
      <c r="J70" s="4"/>
      <c r="K70" s="4"/>
      <c r="L70" s="1"/>
      <c r="M70" s="4"/>
      <c r="N70" s="4"/>
      <c r="O70" s="4"/>
      <c r="P70" s="4"/>
    </row>
    <row r="71" spans="1:16" ht="15" customHeight="1">
      <c r="A71" s="3"/>
      <c r="B71" s="4"/>
      <c r="C71" s="2"/>
      <c r="D71" s="8"/>
      <c r="E71" s="1"/>
      <c r="F71" s="1"/>
      <c r="G71" s="2"/>
      <c r="H71" s="4"/>
      <c r="I71" s="4"/>
      <c r="J71" s="4"/>
      <c r="K71" s="4"/>
      <c r="L71" s="1"/>
      <c r="M71" s="1"/>
      <c r="N71" s="1"/>
      <c r="O71" s="1"/>
      <c r="P71" s="1"/>
    </row>
    <row r="72" spans="1:16" ht="15" customHeight="1">
      <c r="A72" s="6"/>
      <c r="B72" s="1"/>
      <c r="C72" s="9"/>
      <c r="D72" s="8"/>
      <c r="E72" s="1"/>
      <c r="F72" s="1"/>
      <c r="G72" s="2"/>
      <c r="H72" s="4"/>
      <c r="I72" s="4"/>
      <c r="J72" s="4"/>
      <c r="K72" s="1"/>
      <c r="L72" s="1"/>
      <c r="M72" s="1"/>
      <c r="N72" s="1"/>
      <c r="O72" s="1"/>
      <c r="P72" s="1"/>
    </row>
    <row r="73" spans="1:16" ht="15" customHeight="1">
      <c r="A73" s="4"/>
      <c r="B73" s="4"/>
      <c r="C73" s="4"/>
      <c r="D73" s="8"/>
      <c r="E73" s="1"/>
      <c r="F73" s="1"/>
      <c r="G73" s="2"/>
      <c r="H73" s="4"/>
      <c r="I73" s="4"/>
      <c r="J73" s="4"/>
      <c r="K73" s="4"/>
      <c r="L73" s="1"/>
      <c r="M73" s="1"/>
      <c r="N73" s="1"/>
      <c r="O73" s="1"/>
      <c r="P73" s="1"/>
    </row>
    <row r="74" spans="1:16" ht="15" customHeight="1">
      <c r="A74" s="16"/>
      <c r="B74" s="3"/>
      <c r="C74" s="3"/>
      <c r="D74" s="8"/>
      <c r="E74" s="1"/>
      <c r="F74" s="1"/>
      <c r="G74" s="2"/>
      <c r="H74" s="4"/>
      <c r="I74" s="4"/>
      <c r="J74" s="4"/>
      <c r="K74" s="1"/>
      <c r="L74" s="8"/>
      <c r="M74" s="1"/>
      <c r="N74" s="1"/>
      <c r="O74" s="1"/>
      <c r="P74" s="1"/>
    </row>
    <row r="75" spans="1:16" ht="15" customHeight="1">
      <c r="A75" s="11"/>
      <c r="B75" s="3"/>
      <c r="C75" s="3"/>
      <c r="D75" s="8"/>
      <c r="E75" s="1"/>
      <c r="F75" s="1"/>
      <c r="G75" s="2"/>
      <c r="H75" s="4"/>
      <c r="I75" s="4"/>
      <c r="J75" s="4"/>
      <c r="K75" s="4"/>
      <c r="L75" s="1"/>
      <c r="M75" s="1"/>
      <c r="N75" s="1"/>
      <c r="O75" s="1"/>
      <c r="P75" s="1"/>
    </row>
    <row r="76" spans="1:16" ht="15" customHeight="1">
      <c r="A76" s="11"/>
      <c r="B76" s="3"/>
      <c r="C76" s="3"/>
      <c r="D76" s="8"/>
      <c r="E76" s="1"/>
      <c r="F76" s="1"/>
      <c r="G76" s="2"/>
      <c r="H76" s="4"/>
      <c r="I76" s="4"/>
      <c r="J76" s="4"/>
      <c r="K76" s="4"/>
      <c r="L76" s="1"/>
      <c r="M76" s="1"/>
      <c r="N76" s="1"/>
      <c r="O76" s="1"/>
      <c r="P76" s="1"/>
    </row>
    <row r="77" spans="1:16" ht="15" customHeight="1">
      <c r="A77" s="11"/>
      <c r="B77" s="3"/>
      <c r="C77" s="3"/>
      <c r="D77" s="8"/>
      <c r="E77" s="1"/>
      <c r="F77" s="1"/>
      <c r="G77" s="2"/>
      <c r="H77" s="4"/>
      <c r="I77" s="4"/>
      <c r="J77" s="4"/>
      <c r="K77" s="4"/>
      <c r="L77" s="1"/>
      <c r="M77" s="1"/>
      <c r="N77" s="1"/>
      <c r="O77" s="1"/>
      <c r="P77" s="1"/>
    </row>
    <row r="78" spans="1:16" ht="15" customHeight="1">
      <c r="A78" s="11"/>
      <c r="B78" s="3"/>
      <c r="C78" s="3"/>
      <c r="D78" s="8"/>
      <c r="E78" s="1"/>
      <c r="F78" s="1"/>
      <c r="G78" s="2"/>
      <c r="H78" s="4"/>
      <c r="I78" s="4"/>
      <c r="J78" s="4"/>
      <c r="K78" s="4"/>
      <c r="L78" s="1"/>
      <c r="M78" s="1"/>
      <c r="N78" s="1"/>
      <c r="O78" s="1"/>
      <c r="P78" s="1"/>
    </row>
    <row r="79" spans="1:16" ht="15" customHeight="1">
      <c r="A79" s="11"/>
      <c r="B79" s="3"/>
      <c r="C79" s="3"/>
      <c r="D79" s="8"/>
      <c r="E79" s="1"/>
      <c r="F79" s="1"/>
      <c r="G79" s="2"/>
      <c r="H79" s="4"/>
      <c r="I79" s="4"/>
      <c r="J79" s="4"/>
      <c r="K79" s="4"/>
      <c r="L79" s="1"/>
      <c r="M79" s="1"/>
      <c r="N79" s="1"/>
      <c r="O79" s="1"/>
      <c r="P79" s="1"/>
    </row>
    <row r="80" spans="1:16" ht="15" customHeight="1">
      <c r="A80" s="11"/>
      <c r="B80" s="3"/>
      <c r="C80" s="3"/>
      <c r="D80" s="8"/>
      <c r="E80" s="1"/>
      <c r="F80" s="1"/>
      <c r="G80" s="2"/>
      <c r="H80" s="4"/>
      <c r="I80" s="4"/>
      <c r="J80" s="4"/>
      <c r="K80" s="4"/>
      <c r="L80" s="1"/>
      <c r="M80" s="1"/>
      <c r="N80" s="1"/>
      <c r="O80" s="1"/>
      <c r="P80" s="1"/>
    </row>
    <row r="81" spans="1:16" ht="15" customHeight="1">
      <c r="A81" s="11"/>
      <c r="B81" s="3"/>
      <c r="C81" s="3"/>
      <c r="D81" s="8"/>
      <c r="E81" s="1"/>
      <c r="F81" s="1"/>
      <c r="G81" s="2"/>
      <c r="H81" s="4"/>
      <c r="I81" s="4"/>
      <c r="J81" s="4"/>
      <c r="K81" s="4"/>
      <c r="L81" s="1"/>
      <c r="M81" s="1"/>
      <c r="N81" s="1"/>
      <c r="O81" s="1"/>
      <c r="P81" s="1"/>
    </row>
    <row r="82" spans="1:16" ht="15" customHeight="1">
      <c r="A82" s="11"/>
      <c r="B82" s="3"/>
      <c r="C82" s="3"/>
      <c r="D82" s="8"/>
      <c r="E82" s="1"/>
      <c r="F82" s="1"/>
      <c r="G82" s="2"/>
      <c r="H82" s="4"/>
      <c r="I82" s="4"/>
      <c r="J82" s="4"/>
      <c r="K82" s="4"/>
      <c r="L82" s="1"/>
      <c r="M82" s="1"/>
      <c r="N82" s="1"/>
      <c r="O82" s="1"/>
      <c r="P82" s="1"/>
    </row>
    <row r="83" spans="1:16" ht="15" customHeight="1">
      <c r="A83" s="11"/>
      <c r="B83" s="3"/>
      <c r="C83" s="3"/>
      <c r="D83" s="8"/>
      <c r="E83" s="1"/>
      <c r="F83" s="1"/>
      <c r="G83" s="2"/>
      <c r="H83" s="4"/>
      <c r="I83" s="4"/>
      <c r="J83" s="4"/>
      <c r="K83" s="4"/>
      <c r="L83" s="1"/>
      <c r="M83" s="1"/>
      <c r="N83" s="1"/>
      <c r="O83" s="1"/>
      <c r="P83" s="1"/>
    </row>
    <row r="84" spans="1:16" ht="15" customHeight="1">
      <c r="A84" s="11"/>
      <c r="B84" s="3"/>
      <c r="C84" s="3"/>
      <c r="D84" s="8"/>
      <c r="E84" s="1"/>
      <c r="F84" s="1"/>
      <c r="G84" s="2"/>
      <c r="H84" s="4"/>
      <c r="I84" s="4"/>
      <c r="J84" s="4"/>
      <c r="K84" s="4"/>
      <c r="L84" s="1"/>
      <c r="M84" s="1"/>
      <c r="N84" s="1"/>
      <c r="O84" s="1"/>
      <c r="P84" s="1"/>
    </row>
    <row r="85" spans="1:16" ht="15" customHeight="1">
      <c r="A85" s="2"/>
      <c r="B85" s="1"/>
      <c r="C85" s="1"/>
      <c r="D85" s="8"/>
      <c r="E85" s="1"/>
      <c r="F85" s="1"/>
      <c r="G85" s="2"/>
      <c r="H85" s="4"/>
      <c r="I85" s="4"/>
      <c r="J85" s="4"/>
      <c r="K85" s="4"/>
      <c r="L85" s="1"/>
      <c r="M85" s="17"/>
      <c r="N85" s="4"/>
      <c r="O85" s="4"/>
      <c r="P85" s="4"/>
    </row>
    <row r="86" spans="1:16" ht="15" customHeight="1">
      <c r="A86" s="2"/>
      <c r="B86" s="1"/>
      <c r="C86" s="1"/>
      <c r="D86" s="8"/>
      <c r="E86" s="1"/>
      <c r="F86" s="1"/>
      <c r="G86" s="2"/>
      <c r="H86" s="4"/>
      <c r="I86" s="4"/>
      <c r="J86" s="4"/>
      <c r="K86" s="4"/>
      <c r="L86" s="1"/>
      <c r="M86" s="17"/>
      <c r="N86" s="4"/>
      <c r="O86" s="4"/>
      <c r="P86" s="4"/>
    </row>
    <row r="87" spans="1:16" ht="15" customHeight="1">
      <c r="A87" s="2"/>
      <c r="B87" s="1"/>
      <c r="C87" s="1"/>
      <c r="D87" s="8"/>
      <c r="E87" s="1"/>
      <c r="F87" s="1"/>
      <c r="G87" s="2"/>
      <c r="H87" s="4"/>
      <c r="I87" s="4"/>
      <c r="J87" s="4"/>
      <c r="K87" s="4"/>
      <c r="L87" s="1"/>
      <c r="M87" s="4"/>
      <c r="N87" s="4"/>
      <c r="O87" s="4"/>
      <c r="P87" s="4"/>
    </row>
    <row r="88" spans="1:16" ht="15" customHeight="1">
      <c r="A88" s="2"/>
      <c r="B88" s="1"/>
      <c r="C88" s="1"/>
      <c r="D88" s="8"/>
      <c r="E88" s="1"/>
      <c r="F88" s="1"/>
      <c r="G88" s="2"/>
      <c r="H88" s="4"/>
      <c r="I88" s="4"/>
      <c r="J88" s="4"/>
      <c r="K88" s="4"/>
      <c r="L88" s="1"/>
      <c r="M88" s="4"/>
      <c r="N88" s="4"/>
      <c r="O88" s="4"/>
      <c r="P88" s="4"/>
    </row>
    <row r="89" spans="1:16" ht="15" customHeight="1">
      <c r="A89" s="2"/>
      <c r="B89" s="1"/>
      <c r="C89" s="1"/>
      <c r="D89" s="8"/>
      <c r="E89" s="1"/>
      <c r="F89" s="1"/>
      <c r="G89" s="2"/>
      <c r="H89" s="4"/>
      <c r="I89" s="4"/>
      <c r="J89" s="4"/>
      <c r="K89" s="4"/>
      <c r="L89" s="1"/>
      <c r="M89" s="4"/>
      <c r="N89" s="4"/>
      <c r="O89" s="4"/>
      <c r="P89" s="4"/>
    </row>
    <row r="90" spans="1:16" ht="15" customHeight="1">
      <c r="A90" s="2"/>
      <c r="B90" s="1"/>
      <c r="C90" s="1"/>
      <c r="D90" s="8"/>
      <c r="E90" s="1"/>
      <c r="F90" s="1"/>
      <c r="G90" s="2"/>
      <c r="H90" s="4"/>
      <c r="I90" s="4"/>
      <c r="J90" s="4"/>
      <c r="K90" s="4"/>
      <c r="L90" s="1"/>
      <c r="M90" s="4"/>
      <c r="N90" s="4"/>
      <c r="O90" s="4"/>
      <c r="P90" s="4"/>
    </row>
    <row r="91" spans="1:16" ht="15" customHeight="1">
      <c r="A91" s="2"/>
      <c r="B91" s="1"/>
      <c r="C91" s="1"/>
      <c r="D91" s="8"/>
      <c r="E91" s="1"/>
      <c r="F91" s="1"/>
      <c r="G91" s="2"/>
      <c r="H91" s="4"/>
      <c r="I91" s="4"/>
      <c r="J91" s="4"/>
      <c r="K91" s="4"/>
      <c r="L91" s="1"/>
      <c r="M91" s="4"/>
      <c r="N91" s="4"/>
      <c r="O91" s="4"/>
      <c r="P91" s="4"/>
    </row>
    <row r="92" spans="1:16" ht="15" customHeight="1">
      <c r="A92" s="2"/>
      <c r="B92" s="1"/>
      <c r="C92" s="1"/>
      <c r="D92" s="8"/>
      <c r="E92" s="1"/>
      <c r="F92" s="1"/>
      <c r="G92" s="2"/>
      <c r="H92" s="4"/>
      <c r="I92" s="4"/>
      <c r="J92" s="4"/>
      <c r="K92" s="4"/>
      <c r="L92" s="1"/>
      <c r="M92" s="4"/>
      <c r="N92" s="4"/>
      <c r="O92" s="4"/>
      <c r="P92" s="4"/>
    </row>
    <row r="93" spans="1:16" ht="15" customHeight="1">
      <c r="A93" s="2"/>
      <c r="B93" s="1"/>
      <c r="C93" s="1"/>
      <c r="D93" s="8"/>
      <c r="E93" s="1"/>
      <c r="F93" s="1"/>
      <c r="G93" s="2"/>
      <c r="H93" s="4"/>
      <c r="I93" s="4"/>
      <c r="J93" s="4"/>
      <c r="K93" s="4"/>
      <c r="L93" s="1"/>
      <c r="M93" s="4"/>
      <c r="N93" s="4"/>
      <c r="O93" s="4"/>
      <c r="P93" s="4"/>
    </row>
    <row r="94" spans="1:16" ht="15" customHeight="1">
      <c r="A94" s="2"/>
      <c r="B94" s="1"/>
      <c r="C94" s="1"/>
      <c r="D94" s="8"/>
      <c r="E94" s="1"/>
      <c r="F94" s="1"/>
      <c r="G94" s="2"/>
      <c r="H94" s="4"/>
      <c r="I94" s="4"/>
      <c r="J94" s="4"/>
      <c r="K94" s="4"/>
      <c r="L94" s="1"/>
      <c r="M94" s="4"/>
      <c r="N94" s="4"/>
      <c r="O94" s="4"/>
      <c r="P94" s="4"/>
    </row>
    <row r="95" spans="1:16" ht="15" customHeight="1">
      <c r="A95" s="2"/>
      <c r="B95" s="1"/>
      <c r="C95" s="1"/>
      <c r="D95" s="8"/>
      <c r="E95" s="1"/>
      <c r="F95" s="1"/>
      <c r="G95" s="2"/>
      <c r="H95" s="4"/>
      <c r="I95" s="4"/>
      <c r="J95" s="4"/>
      <c r="K95" s="4"/>
      <c r="L95" s="1"/>
      <c r="M95" s="4"/>
      <c r="N95" s="4"/>
      <c r="O95" s="4"/>
      <c r="P95" s="4"/>
    </row>
    <row r="96" spans="1:16" ht="15" customHeight="1">
      <c r="A96" s="2"/>
      <c r="B96" s="1"/>
      <c r="C96" s="1"/>
      <c r="D96" s="8"/>
      <c r="E96" s="1"/>
      <c r="F96" s="1"/>
      <c r="G96" s="2"/>
      <c r="H96" s="4"/>
      <c r="I96" s="4"/>
      <c r="J96" s="4"/>
      <c r="K96" s="4"/>
      <c r="L96" s="1"/>
      <c r="M96" s="4"/>
      <c r="N96" s="4"/>
      <c r="O96" s="4"/>
      <c r="P96" s="4"/>
    </row>
    <row r="97" spans="1:16" ht="15" customHeight="1">
      <c r="A97" s="2"/>
      <c r="B97" s="1"/>
      <c r="C97" s="1"/>
      <c r="D97" s="8"/>
      <c r="E97" s="1"/>
      <c r="F97" s="1"/>
      <c r="G97" s="2"/>
      <c r="H97" s="4"/>
      <c r="I97" s="4"/>
      <c r="J97" s="4"/>
      <c r="K97" s="4"/>
      <c r="L97" s="1"/>
      <c r="M97" s="4"/>
      <c r="N97" s="4"/>
      <c r="O97" s="4"/>
      <c r="P97" s="4"/>
    </row>
  </sheetData>
  <mergeCells count="1">
    <mergeCell ref="P1:Q1"/>
  </mergeCells>
  <printOptions horizontalCentered="1"/>
  <pageMargins left="0.5" right="0.5" top="0.5" bottom="0.6" header="0.3" footer="0.4"/>
  <pageSetup fitToHeight="1" fitToWidth="1" horizontalDpi="600" verticalDpi="600" orientation="landscape" scale="69" r:id="rId2"/>
  <headerFooter alignWithMargins="0">
    <oddHeader xml:space="preserve">&amp;CSpreadsheet by Agilent Technologies&amp;R </oddHeader>
    <oddFooter>&amp;L&amp;F tab &amp;A page &amp;P of &amp;N&amp;RPrinted &amp;T 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7"/>
  <sheetViews>
    <sheetView showGridLines="0" showOutlineSymbols="0" zoomScale="70" zoomScaleNormal="70" workbookViewId="0" topLeftCell="A1">
      <selection activeCell="A3" sqref="A3"/>
    </sheetView>
  </sheetViews>
  <sheetFormatPr defaultColWidth="9.140625" defaultRowHeight="12.75"/>
  <cols>
    <col min="1" max="1" width="10.7109375" style="5" customWidth="1"/>
    <col min="2" max="3" width="10.8515625" style="5" customWidth="1"/>
    <col min="4" max="4" width="9.7109375" style="5" customWidth="1"/>
    <col min="5" max="5" width="10.7109375" style="5" customWidth="1"/>
    <col min="6" max="6" width="6.57421875" style="5" customWidth="1"/>
    <col min="7" max="8" width="6.7109375" style="5" customWidth="1"/>
    <col min="9" max="9" width="7.28125" style="5" customWidth="1"/>
    <col min="10" max="10" width="7.7109375" style="5" customWidth="1"/>
    <col min="11" max="11" width="7.28125" style="5" customWidth="1"/>
    <col min="12" max="12" width="6.57421875" style="5" customWidth="1"/>
    <col min="13" max="14" width="6.28125" style="5" customWidth="1"/>
    <col min="15" max="17" width="7.7109375" style="5" customWidth="1"/>
    <col min="18" max="18" width="8.421875" style="56" customWidth="1"/>
    <col min="19" max="19" width="6.57421875" style="5" customWidth="1"/>
    <col min="20" max="20" width="7.28125" style="7" customWidth="1"/>
    <col min="21" max="21" width="7.421875" style="5" customWidth="1"/>
    <col min="22" max="22" width="7.7109375" style="5" customWidth="1"/>
    <col min="23" max="23" width="11.140625" style="10" customWidth="1"/>
    <col min="24" max="24" width="8.8515625" style="10" customWidth="1"/>
    <col min="25" max="25" width="8.140625" style="5" customWidth="1"/>
    <col min="26" max="26" width="7.57421875" style="5" customWidth="1"/>
    <col min="27" max="27" width="10.00390625" style="166" customWidth="1"/>
    <col min="28" max="28" width="6.00390625" style="5" customWidth="1"/>
    <col min="29" max="29" width="7.140625" style="5" customWidth="1"/>
    <col min="30" max="30" width="7.00390625" style="5" customWidth="1"/>
    <col min="31" max="32" width="10.00390625" style="5" customWidth="1"/>
    <col min="33" max="16384" width="11.140625" style="5" customWidth="1"/>
  </cols>
  <sheetData>
    <row r="1" spans="1:32" s="133" customFormat="1" ht="15">
      <c r="A1" s="130" t="s">
        <v>121</v>
      </c>
      <c r="B1" s="113"/>
      <c r="C1" s="113"/>
      <c r="D1" s="113"/>
      <c r="E1" s="117"/>
      <c r="F1" s="117"/>
      <c r="G1" s="117"/>
      <c r="H1" s="117"/>
      <c r="I1" s="117"/>
      <c r="J1" s="117"/>
      <c r="K1" s="117"/>
      <c r="L1" s="131" t="s">
        <v>76</v>
      </c>
      <c r="M1" s="113" t="s">
        <v>59</v>
      </c>
      <c r="N1" s="117"/>
      <c r="O1" s="138" t="s">
        <v>0</v>
      </c>
      <c r="P1" s="260">
        <f>Notes!D17</f>
        <v>36714</v>
      </c>
      <c r="Q1" s="261"/>
      <c r="R1" s="224" t="s">
        <v>1</v>
      </c>
      <c r="S1" s="230"/>
      <c r="T1" s="234" t="s">
        <v>145</v>
      </c>
      <c r="U1" s="230" t="str">
        <f>Notes!A1</f>
        <v>5pmd047.xls</v>
      </c>
      <c r="V1" s="223"/>
      <c r="W1" s="231">
        <f>Notes!D1</f>
        <v>36714</v>
      </c>
      <c r="Z1" s="51"/>
      <c r="AA1" s="164"/>
      <c r="AB1" s="226"/>
      <c r="AC1" s="51"/>
      <c r="AD1" s="51"/>
      <c r="AE1" s="51"/>
      <c r="AF1" s="51"/>
    </row>
    <row r="2" spans="1:32" ht="15.75">
      <c r="A2" s="62" t="s">
        <v>2</v>
      </c>
      <c r="B2" s="121" t="s">
        <v>3</v>
      </c>
      <c r="C2" s="73"/>
      <c r="D2" s="65"/>
      <c r="E2" s="73"/>
      <c r="F2" s="73"/>
      <c r="G2" s="62"/>
      <c r="H2" s="61"/>
      <c r="I2" s="65" t="s">
        <v>104</v>
      </c>
      <c r="J2" s="137">
        <v>0.3</v>
      </c>
      <c r="K2" s="61" t="s">
        <v>105</v>
      </c>
      <c r="L2" s="61"/>
      <c r="M2" s="73"/>
      <c r="N2" s="61"/>
      <c r="O2" s="62" t="s">
        <v>110</v>
      </c>
      <c r="P2" s="146">
        <f>1000000/$P$6</f>
        <v>295</v>
      </c>
      <c r="Q2" s="61" t="s">
        <v>99</v>
      </c>
      <c r="R2" s="250" t="str">
        <f>Notes!G17</f>
        <v>2.3.5</v>
      </c>
      <c r="S2" s="46"/>
      <c r="T2" s="235"/>
      <c r="U2" s="46"/>
      <c r="V2" s="232" t="s">
        <v>1</v>
      </c>
      <c r="W2" s="233" t="str">
        <f>Notes!F1</f>
        <v>0.4.7</v>
      </c>
      <c r="X2" s="6"/>
      <c r="Y2" s="1"/>
      <c r="Z2" s="1"/>
      <c r="AA2" s="165"/>
      <c r="AB2" s="66"/>
      <c r="AC2" s="1"/>
      <c r="AD2" s="1"/>
      <c r="AE2" s="1"/>
      <c r="AF2" s="1"/>
    </row>
    <row r="3" spans="1:32" ht="15" customHeight="1">
      <c r="A3" s="73"/>
      <c r="B3" s="73"/>
      <c r="C3" s="73"/>
      <c r="D3" s="65" t="s">
        <v>5</v>
      </c>
      <c r="E3" s="152">
        <v>500</v>
      </c>
      <c r="F3" s="61"/>
      <c r="G3" s="61"/>
      <c r="H3" s="73"/>
      <c r="I3" s="62" t="s">
        <v>107</v>
      </c>
      <c r="J3" s="120">
        <v>0.2</v>
      </c>
      <c r="K3" s="73" t="s">
        <v>105</v>
      </c>
      <c r="L3" s="61"/>
      <c r="M3" s="73"/>
      <c r="N3" s="61"/>
      <c r="O3" s="62" t="s">
        <v>4</v>
      </c>
      <c r="P3" s="49">
        <f>IF($B$4&gt;1000,$E$6/1.5,$E$6/3.5)</f>
        <v>1</v>
      </c>
      <c r="Q3" s="61"/>
      <c r="R3" s="81"/>
      <c r="S3" s="85"/>
      <c r="T3" s="82"/>
      <c r="U3" s="67"/>
      <c r="V3" s="73"/>
      <c r="W3" s="66"/>
      <c r="X3" s="6"/>
      <c r="Y3" s="1"/>
      <c r="Z3" s="1"/>
      <c r="AA3" s="165"/>
      <c r="AB3" s="84"/>
      <c r="AC3" s="1"/>
      <c r="AD3" s="1"/>
      <c r="AE3" s="1"/>
      <c r="AF3" s="1"/>
    </row>
    <row r="4" spans="1:32" ht="15" customHeight="1">
      <c r="A4" s="62" t="s">
        <v>55</v>
      </c>
      <c r="B4" s="86">
        <v>1270</v>
      </c>
      <c r="C4" s="73"/>
      <c r="D4" s="65" t="s">
        <v>9</v>
      </c>
      <c r="E4" s="83">
        <v>0.093</v>
      </c>
      <c r="F4" s="61"/>
      <c r="G4" s="61"/>
      <c r="H4" s="73"/>
      <c r="I4" s="62" t="s">
        <v>108</v>
      </c>
      <c r="J4" s="156">
        <f>10^(INT(LOG10(J3/9)))</f>
        <v>0.01</v>
      </c>
      <c r="K4" s="61" t="s">
        <v>105</v>
      </c>
      <c r="L4" s="61"/>
      <c r="M4" s="61"/>
      <c r="N4" s="61"/>
      <c r="O4" s="62" t="s">
        <v>6</v>
      </c>
      <c r="P4" s="146">
        <f>B7*1.518</f>
        <v>151.8</v>
      </c>
      <c r="Q4" s="73" t="s">
        <v>99</v>
      </c>
      <c r="R4" s="87" t="s">
        <v>7</v>
      </c>
      <c r="S4" s="85"/>
      <c r="T4" s="82"/>
      <c r="U4" s="67"/>
      <c r="V4" s="73"/>
      <c r="W4" s="66"/>
      <c r="X4" s="6"/>
      <c r="Y4" s="1"/>
      <c r="Z4" s="1"/>
      <c r="AA4" s="165"/>
      <c r="AB4" s="85"/>
      <c r="AC4" s="1"/>
      <c r="AD4" s="1"/>
      <c r="AE4" s="1"/>
      <c r="AF4" s="1"/>
    </row>
    <row r="5" spans="1:32" ht="15" customHeight="1">
      <c r="A5" s="62" t="s">
        <v>8</v>
      </c>
      <c r="B5" s="88">
        <v>0.62</v>
      </c>
      <c r="C5" s="73"/>
      <c r="D5" s="65" t="s">
        <v>56</v>
      </c>
      <c r="E5" s="83">
        <v>1365</v>
      </c>
      <c r="F5" s="61"/>
      <c r="G5" s="61"/>
      <c r="H5" s="73"/>
      <c r="I5" s="62" t="s">
        <v>12</v>
      </c>
      <c r="J5" s="89">
        <v>480</v>
      </c>
      <c r="K5" s="61" t="s">
        <v>103</v>
      </c>
      <c r="L5" s="73"/>
      <c r="M5" s="67"/>
      <c r="N5" s="61"/>
      <c r="O5" s="62" t="s">
        <v>10</v>
      </c>
      <c r="P5" s="97">
        <v>0.7</v>
      </c>
      <c r="Q5" s="61"/>
      <c r="R5" s="87" t="s">
        <v>11</v>
      </c>
      <c r="S5" s="81"/>
      <c r="T5" s="82"/>
      <c r="U5" s="67"/>
      <c r="V5" s="73"/>
      <c r="W5" s="66"/>
      <c r="X5" s="6"/>
      <c r="Y5" s="1"/>
      <c r="Z5" s="1"/>
      <c r="AA5" s="165"/>
      <c r="AB5" s="85"/>
      <c r="AC5" s="1"/>
      <c r="AD5" s="1"/>
      <c r="AE5" s="1"/>
      <c r="AF5" s="1"/>
    </row>
    <row r="6" spans="1:32" ht="15" customHeight="1">
      <c r="A6" s="62" t="s">
        <v>74</v>
      </c>
      <c r="B6" s="83">
        <v>7</v>
      </c>
      <c r="C6" s="73" t="s">
        <v>63</v>
      </c>
      <c r="D6" s="65" t="s">
        <v>95</v>
      </c>
      <c r="E6" s="83">
        <v>1.5</v>
      </c>
      <c r="F6" s="61" t="str">
        <f>"dB/km at "&amp;IF(B4&lt;1000,850,1300)&amp;" nm"</f>
        <v>dB/km at 1300 nm</v>
      </c>
      <c r="G6" s="61"/>
      <c r="H6" s="73"/>
      <c r="I6" s="62" t="s">
        <v>15</v>
      </c>
      <c r="J6" s="88">
        <v>7.037</v>
      </c>
      <c r="K6" s="61"/>
      <c r="L6" s="61"/>
      <c r="M6" s="67"/>
      <c r="N6" s="61"/>
      <c r="O6" s="65" t="s">
        <v>13</v>
      </c>
      <c r="P6" s="90">
        <f>(P7)</f>
        <v>3389.830508474576</v>
      </c>
      <c r="Q6" s="66"/>
      <c r="R6" s="85"/>
      <c r="S6" s="66" t="s">
        <v>47</v>
      </c>
      <c r="T6" s="52">
        <f>$E$9-$E$10</f>
        <v>6</v>
      </c>
      <c r="U6" s="246" t="s">
        <v>63</v>
      </c>
      <c r="V6" s="73"/>
      <c r="W6" s="66"/>
      <c r="Y6" s="175" t="s">
        <v>127</v>
      </c>
      <c r="Z6" s="176">
        <f>$Z$8*$P$2/(SQRT(8)*$T$9)</f>
        <v>2.0312797517227614</v>
      </c>
      <c r="AA6" s="177" t="s">
        <v>77</v>
      </c>
      <c r="AB6" s="61"/>
      <c r="AC6" s="1"/>
      <c r="AD6" s="1"/>
      <c r="AE6" s="1"/>
      <c r="AF6" s="1"/>
    </row>
    <row r="7" spans="1:32" ht="15" customHeight="1">
      <c r="A7" s="62" t="s">
        <v>14</v>
      </c>
      <c r="B7" s="83">
        <v>100</v>
      </c>
      <c r="C7" s="73" t="s">
        <v>99</v>
      </c>
      <c r="D7" s="62" t="s">
        <v>96</v>
      </c>
      <c r="E7" s="155">
        <v>3125</v>
      </c>
      <c r="F7" s="73" t="s">
        <v>101</v>
      </c>
      <c r="G7" s="67"/>
      <c r="H7" s="67"/>
      <c r="I7" s="65" t="s">
        <v>100</v>
      </c>
      <c r="J7" s="154">
        <f>2.5*10^5/$E$7</f>
        <v>80</v>
      </c>
      <c r="K7" s="67" t="s">
        <v>99</v>
      </c>
      <c r="L7" s="61"/>
      <c r="M7" s="67"/>
      <c r="N7" s="61"/>
      <c r="O7" s="65" t="s">
        <v>16</v>
      </c>
      <c r="P7" s="91">
        <f>1/((1/$E$7)-$J$8*10^-6)</f>
        <v>3389.830508474576</v>
      </c>
      <c r="Q7" s="66"/>
      <c r="R7" s="85"/>
      <c r="S7" s="93" t="s">
        <v>33</v>
      </c>
      <c r="T7" s="118">
        <f>AE36</f>
        <v>0.9100206625399778</v>
      </c>
      <c r="U7" s="94" t="str">
        <f>"dB at target "&amp;J2&amp;" km"</f>
        <v>dB at target 0.3 km</v>
      </c>
      <c r="V7" s="73"/>
      <c r="W7" s="122"/>
      <c r="Y7" s="175" t="s">
        <v>128</v>
      </c>
      <c r="Z7" s="178">
        <f>IF(ABS($Z$6)&lt;10,SIGN($Z$6)*ERF(ABS($Z$6)),SIGN($Z$6))</f>
        <v>0.9959297241782481</v>
      </c>
      <c r="AA7" s="177" t="s">
        <v>77</v>
      </c>
      <c r="AB7" s="61"/>
      <c r="AC7" s="1"/>
      <c r="AD7" s="1"/>
      <c r="AE7" s="1"/>
      <c r="AF7" s="1"/>
    </row>
    <row r="8" spans="1:32" ht="15" customHeight="1">
      <c r="A8" s="62" t="s">
        <v>86</v>
      </c>
      <c r="B8" s="83">
        <v>-120</v>
      </c>
      <c r="C8" s="105" t="s">
        <v>85</v>
      </c>
      <c r="D8" s="65" t="s">
        <v>97</v>
      </c>
      <c r="E8" s="152">
        <v>2500</v>
      </c>
      <c r="F8" s="73" t="s">
        <v>102</v>
      </c>
      <c r="G8" s="67"/>
      <c r="H8" s="61"/>
      <c r="I8" s="65" t="s">
        <v>19</v>
      </c>
      <c r="J8" s="83">
        <v>25</v>
      </c>
      <c r="K8" s="61"/>
      <c r="L8" s="61"/>
      <c r="M8" s="61"/>
      <c r="N8" s="61"/>
      <c r="O8" s="62" t="s">
        <v>17</v>
      </c>
      <c r="P8" s="63">
        <f>(10^-6)*$J$7*$P$7</f>
        <v>0.27118644067796605</v>
      </c>
      <c r="Q8" s="66"/>
      <c r="R8" s="85"/>
      <c r="S8" s="65" t="s">
        <v>112</v>
      </c>
      <c r="T8" s="51">
        <f>$P$3*((1/(0.00094*$B$4)^4)+1.05)</f>
        <v>1.542349727375382</v>
      </c>
      <c r="U8" s="61" t="str">
        <f>"dB/km at "&amp;B4&amp;" nm"</f>
        <v>dB/km at 1270 nm</v>
      </c>
      <c r="V8" s="73"/>
      <c r="W8" s="66"/>
      <c r="Y8" s="175" t="s">
        <v>129</v>
      </c>
      <c r="Z8" s="179">
        <v>2.563</v>
      </c>
      <c r="AA8" s="177" t="s">
        <v>77</v>
      </c>
      <c r="AB8" s="61"/>
      <c r="AC8" s="1"/>
      <c r="AD8" s="1"/>
      <c r="AE8" s="1"/>
      <c r="AF8" s="1"/>
    </row>
    <row r="9" spans="1:32" ht="15" customHeight="1">
      <c r="A9" s="62" t="s">
        <v>18</v>
      </c>
      <c r="B9" s="83">
        <v>0.8</v>
      </c>
      <c r="C9" s="73"/>
      <c r="D9" s="65" t="s">
        <v>67</v>
      </c>
      <c r="E9" s="83">
        <v>8</v>
      </c>
      <c r="F9" s="73"/>
      <c r="G9" s="73"/>
      <c r="H9" s="61"/>
      <c r="I9" s="65" t="s">
        <v>22</v>
      </c>
      <c r="J9" s="129">
        <v>-7.5</v>
      </c>
      <c r="K9" s="67"/>
      <c r="L9" s="61"/>
      <c r="M9" s="67"/>
      <c r="N9" s="61"/>
      <c r="O9" s="62" t="s">
        <v>20</v>
      </c>
      <c r="P9" s="92">
        <f>(P8)</f>
        <v>0.27118644067796605</v>
      </c>
      <c r="Q9" s="66"/>
      <c r="R9" s="85"/>
      <c r="S9" s="93" t="s">
        <v>73</v>
      </c>
      <c r="T9" s="145">
        <f>T10*1000/$E$8</f>
        <v>131.6</v>
      </c>
      <c r="U9" s="94" t="s">
        <v>99</v>
      </c>
      <c r="V9" s="32"/>
      <c r="W9" s="41"/>
      <c r="Y9" s="180" t="s">
        <v>98</v>
      </c>
      <c r="Z9" s="202">
        <f>ERF(MAX(MIN($Z$8*$P$2*($P$9+1)/(SQRT(8)*$T$9),10),-10))+ERF(MAX(MIN($Z$8*$P$2*(1-$P$9)/(SQRT(8)*$T$9),10),-10))-1</f>
        <v>0.9634470577655052</v>
      </c>
      <c r="AA9" s="181" t="s">
        <v>77</v>
      </c>
      <c r="AB9" s="61"/>
      <c r="AC9" s="1"/>
      <c r="AD9" s="1"/>
      <c r="AE9" s="1"/>
      <c r="AF9" s="1"/>
    </row>
    <row r="10" spans="1:32" ht="15" customHeight="1">
      <c r="A10" s="62" t="s">
        <v>21</v>
      </c>
      <c r="B10" s="83">
        <v>0.5</v>
      </c>
      <c r="C10" s="73"/>
      <c r="D10" s="65" t="s">
        <v>68</v>
      </c>
      <c r="E10" s="83">
        <v>2</v>
      </c>
      <c r="F10" s="73"/>
      <c r="G10" s="62"/>
      <c r="H10" s="61"/>
      <c r="I10" s="62" t="s">
        <v>26</v>
      </c>
      <c r="J10" s="119">
        <v>7</v>
      </c>
      <c r="K10" s="61"/>
      <c r="L10" s="61"/>
      <c r="M10" s="67"/>
      <c r="N10" s="61"/>
      <c r="O10" s="62" t="s">
        <v>23</v>
      </c>
      <c r="P10" s="49">
        <f>S35-$T$6</f>
        <v>2.032119854534198</v>
      </c>
      <c r="Q10" s="67" t="s">
        <v>24</v>
      </c>
      <c r="R10" s="85"/>
      <c r="S10" s="211" t="s">
        <v>171</v>
      </c>
      <c r="T10" s="247">
        <v>329</v>
      </c>
      <c r="U10" s="248" t="s">
        <v>103</v>
      </c>
      <c r="V10" s="73"/>
      <c r="W10" s="106" t="s">
        <v>25</v>
      </c>
      <c r="X10" s="66"/>
      <c r="Y10" s="61"/>
      <c r="Z10" s="73"/>
      <c r="AA10" s="158"/>
      <c r="AB10" s="61"/>
      <c r="AC10" s="1"/>
      <c r="AD10" s="1"/>
      <c r="AE10" s="1"/>
      <c r="AF10" s="1"/>
    </row>
    <row r="11" spans="1:32" ht="15" customHeight="1">
      <c r="A11" s="32"/>
      <c r="B11" s="32"/>
      <c r="C11" s="32"/>
      <c r="D11" s="33"/>
      <c r="E11" s="33"/>
      <c r="F11" s="33"/>
      <c r="G11" s="33"/>
      <c r="H11" s="33"/>
      <c r="I11" s="34" t="s">
        <v>75</v>
      </c>
      <c r="J11" s="35">
        <v>0</v>
      </c>
      <c r="K11" s="36" t="s">
        <v>66</v>
      </c>
      <c r="L11" s="37"/>
      <c r="M11" s="37"/>
      <c r="N11" s="33"/>
      <c r="O11" s="38" t="s">
        <v>62</v>
      </c>
      <c r="P11" s="39">
        <f>10*LOG10(1/SQRT(1-($J$6*J11)^2))</f>
        <v>0</v>
      </c>
      <c r="Q11" s="36" t="s">
        <v>63</v>
      </c>
      <c r="R11" s="57"/>
      <c r="S11" s="38" t="s">
        <v>61</v>
      </c>
      <c r="T11" s="40">
        <f>10*LOG10(1/SQRT(1-($J$6*$J$11/$Z$9)^2))</f>
        <v>0</v>
      </c>
      <c r="U11" s="249" t="s">
        <v>63</v>
      </c>
      <c r="V11" s="73"/>
      <c r="W11" s="95" t="s">
        <v>27</v>
      </c>
      <c r="X11" s="6" t="s">
        <v>28</v>
      </c>
      <c r="Y11" s="12" t="s">
        <v>34</v>
      </c>
      <c r="Z11" s="12" t="s">
        <v>29</v>
      </c>
      <c r="AA11" s="159" t="s">
        <v>78</v>
      </c>
      <c r="AB11" s="61"/>
      <c r="AC11" s="1"/>
      <c r="AD11" s="1"/>
      <c r="AE11" s="1"/>
      <c r="AF11" s="1"/>
    </row>
    <row r="12" spans="1:35" ht="15" customHeight="1">
      <c r="A12" s="123" t="s">
        <v>88</v>
      </c>
      <c r="B12" s="66" t="s">
        <v>57</v>
      </c>
      <c r="C12" s="66" t="s">
        <v>36</v>
      </c>
      <c r="D12" s="72" t="s">
        <v>80</v>
      </c>
      <c r="E12" s="72" t="s">
        <v>81</v>
      </c>
      <c r="F12" s="73" t="s">
        <v>82</v>
      </c>
      <c r="G12" s="73" t="s">
        <v>83</v>
      </c>
      <c r="H12" s="64" t="s">
        <v>37</v>
      </c>
      <c r="I12" s="65" t="s">
        <v>38</v>
      </c>
      <c r="J12" s="66" t="s">
        <v>39</v>
      </c>
      <c r="K12" s="67" t="s">
        <v>40</v>
      </c>
      <c r="L12" s="65" t="s">
        <v>41</v>
      </c>
      <c r="M12" s="65" t="s">
        <v>42</v>
      </c>
      <c r="N12" s="65" t="s">
        <v>43</v>
      </c>
      <c r="O12" s="68" t="s">
        <v>79</v>
      </c>
      <c r="P12" s="65" t="s">
        <v>44</v>
      </c>
      <c r="Q12" s="65" t="s">
        <v>45</v>
      </c>
      <c r="R12" s="69" t="s">
        <v>46</v>
      </c>
      <c r="S12" s="70" t="s">
        <v>48</v>
      </c>
      <c r="T12" s="68" t="s">
        <v>49</v>
      </c>
      <c r="U12" s="67" t="s">
        <v>50</v>
      </c>
      <c r="V12" s="71" t="s">
        <v>33</v>
      </c>
      <c r="W12" s="243" t="s">
        <v>32</v>
      </c>
      <c r="X12" s="6" t="s">
        <v>33</v>
      </c>
      <c r="Y12" s="10" t="s">
        <v>89</v>
      </c>
      <c r="Z12" s="6" t="s">
        <v>35</v>
      </c>
      <c r="AA12" s="159" t="s">
        <v>65</v>
      </c>
      <c r="AB12" s="66" t="s">
        <v>47</v>
      </c>
      <c r="AC12" s="165" t="s">
        <v>136</v>
      </c>
      <c r="AD12" s="1"/>
      <c r="AE12" s="153" t="s">
        <v>113</v>
      </c>
      <c r="AF12" s="182" t="s">
        <v>130</v>
      </c>
      <c r="AG12" s="189" t="s">
        <v>131</v>
      </c>
      <c r="AH12" s="166" t="s">
        <v>132</v>
      </c>
      <c r="AI12" s="166" t="s">
        <v>133</v>
      </c>
    </row>
    <row r="13" spans="1:35" s="33" customFormat="1" ht="15" customHeight="1">
      <c r="A13" s="124" t="s">
        <v>87</v>
      </c>
      <c r="B13" s="42" t="s">
        <v>58</v>
      </c>
      <c r="C13" s="42" t="s">
        <v>58</v>
      </c>
      <c r="D13" s="43" t="s">
        <v>84</v>
      </c>
      <c r="E13" s="43" t="s">
        <v>84</v>
      </c>
      <c r="F13" s="32" t="s">
        <v>109</v>
      </c>
      <c r="G13" s="32" t="s">
        <v>109</v>
      </c>
      <c r="H13" s="44" t="s">
        <v>30</v>
      </c>
      <c r="I13" s="45" t="s">
        <v>30</v>
      </c>
      <c r="J13" s="32"/>
      <c r="K13" s="46"/>
      <c r="L13" s="45" t="s">
        <v>30</v>
      </c>
      <c r="M13" s="45"/>
      <c r="N13" s="45" t="s">
        <v>30</v>
      </c>
      <c r="O13" s="45" t="s">
        <v>30</v>
      </c>
      <c r="P13" s="45" t="s">
        <v>30</v>
      </c>
      <c r="Q13" s="45" t="s">
        <v>30</v>
      </c>
      <c r="R13" s="58" t="s">
        <v>30</v>
      </c>
      <c r="S13" s="46" t="s">
        <v>30</v>
      </c>
      <c r="T13" s="47" t="s">
        <v>30</v>
      </c>
      <c r="U13" s="47" t="s">
        <v>31</v>
      </c>
      <c r="V13" s="48" t="s">
        <v>30</v>
      </c>
      <c r="W13" s="96" t="s">
        <v>51</v>
      </c>
      <c r="X13" s="42" t="s">
        <v>52</v>
      </c>
      <c r="Y13" s="42" t="s">
        <v>30</v>
      </c>
      <c r="Z13" s="42" t="s">
        <v>53</v>
      </c>
      <c r="AA13" s="160" t="s">
        <v>64</v>
      </c>
      <c r="AB13" s="42" t="s">
        <v>30</v>
      </c>
      <c r="AC13" s="139" t="s">
        <v>135</v>
      </c>
      <c r="AD13" s="140" t="s">
        <v>106</v>
      </c>
      <c r="AE13" s="140" t="s">
        <v>134</v>
      </c>
      <c r="AF13" s="183" t="s">
        <v>64</v>
      </c>
      <c r="AG13" s="190" t="s">
        <v>64</v>
      </c>
      <c r="AH13" s="190" t="s">
        <v>64</v>
      </c>
      <c r="AI13" s="190" t="s">
        <v>64</v>
      </c>
    </row>
    <row r="14" spans="1:35" s="117" customFormat="1" ht="15" customHeight="1">
      <c r="A14" s="125">
        <v>0.002</v>
      </c>
      <c r="B14" s="110">
        <f aca="true" t="shared" si="0" ref="B14:B35">0.25*$E$4*$B$4*(1-($E$5/$B$4)^4)</f>
        <v>-9.8766895800401</v>
      </c>
      <c r="C14" s="132">
        <f aca="true" t="shared" si="1" ref="C14:C35">0.7*$E$4*$B$5</f>
        <v>0.040361999999999995</v>
      </c>
      <c r="D14" s="111">
        <f aca="true" t="shared" si="2" ref="D14:D35">(0.187/(A14*$B$5))*(10^6/SQRT(B14^2+C14^2))</f>
        <v>15268799.44490202</v>
      </c>
      <c r="E14" s="111">
        <f aca="true" t="shared" si="3" ref="E14:E35">$E$3/A14</f>
        <v>250000</v>
      </c>
      <c r="F14" s="147">
        <f>SQRT(($J$5/D14)^2+($J$5/E14)^2+$P$4^2)</f>
        <v>151.80000001214557</v>
      </c>
      <c r="G14" s="147">
        <f aca="true" t="shared" si="4" ref="G14:G35">SQRT(F14^2+$T$9^2)</f>
        <v>200.90246390646232</v>
      </c>
      <c r="H14" s="112">
        <f aca="true" t="shared" si="5" ref="H14:H35">-10*LOG10(2*AG14-1)</f>
        <v>0.5539282096086315</v>
      </c>
      <c r="I14" s="110">
        <f aca="true" t="shared" si="6" ref="I14:I35">A14*$P$3*((1/(0.00094*$B$4)^4)+1.05)</f>
        <v>0.0030846994547507637</v>
      </c>
      <c r="J14" s="113">
        <f aca="true" t="shared" si="7" ref="J14:J35">(10^-6)*3.14*$E$7*B14*A14*$B$5</f>
        <v>-0.00012017462046513792</v>
      </c>
      <c r="K14" s="110">
        <f aca="true" t="shared" si="8" ref="K14:K35">($B$9/SQRT(2))*(1-EXP(-1*J14^2))</f>
        <v>8.169594576293564E-09</v>
      </c>
      <c r="L14" s="110">
        <f aca="true" t="shared" si="9" ref="L14:L35">10*LOG10(1/SQRT(1-($J$6*K14)^2))</f>
        <v>7.714619732426289E-15</v>
      </c>
      <c r="M14" s="110"/>
      <c r="N14" s="110"/>
      <c r="O14" s="110">
        <f aca="true" t="shared" si="10" ref="O14:O35">10*LOG10(1/SQRT(1-($J$6*$J$6*((($J$11/AA14)^2)+M14+(K14*K14)))))-$T$11-L14-N14</f>
        <v>0</v>
      </c>
      <c r="P14" s="110">
        <f aca="true" t="shared" si="11" ref="P14:P35">Y14-Z14</f>
        <v>0</v>
      </c>
      <c r="Q14" s="110">
        <f aca="true" t="shared" si="12" ref="Q14:Q35">$B$10</f>
        <v>0.5</v>
      </c>
      <c r="R14" s="212">
        <f aca="true" t="shared" si="13" ref="R14:R35">-10*LOG10(AA14)-H14</f>
        <v>0.3451599270825201</v>
      </c>
      <c r="S14" s="157">
        <f aca="true" t="shared" si="14" ref="S14:S35">H14+I14+L14+N14+O14+P14+Q14+R14</f>
        <v>1.40217283614591</v>
      </c>
      <c r="T14" s="110">
        <f aca="true" t="shared" si="15" ref="T14:T35">$E$10+I14</f>
        <v>2.003084699454751</v>
      </c>
      <c r="U14" s="110">
        <f aca="true" t="shared" si="16" ref="U14:U35">S14-I14</f>
        <v>1.3990881366911592</v>
      </c>
      <c r="V14" s="115">
        <f aca="true" t="shared" si="17" ref="V14:V35">$T$6-S14</f>
        <v>4.59782716385409</v>
      </c>
      <c r="W14" s="116">
        <f aca="true" t="shared" si="18" ref="W14:W35">$J$9-T14-R14-P14</f>
        <v>-9.848244626537271</v>
      </c>
      <c r="X14" s="114"/>
      <c r="Y14" s="110">
        <f aca="true" t="shared" si="19" ref="Y14:Y35">10*LOG10((1+10^(-($B$6/10)))/(1-10^(-($B$6/10))))</f>
        <v>1.7566264497877127</v>
      </c>
      <c r="Z14" s="110">
        <f aca="true" t="shared" si="20" ref="Z14:Z35">10*LOG10((1+10^(-($J$10/10)))/(1-10^(-($J$10/10))))</f>
        <v>1.7566264497877127</v>
      </c>
      <c r="AA14" s="184">
        <f>ERF(AH14)+ERF(AI14)-1</f>
        <v>0.8130011994612825</v>
      </c>
      <c r="AB14" s="114">
        <f aca="true" t="shared" si="21" ref="AB14:AB35">$E$9-$E$10</f>
        <v>6</v>
      </c>
      <c r="AC14" s="141"/>
      <c r="AD14" s="142"/>
      <c r="AE14" s="113"/>
      <c r="AF14" s="187">
        <f aca="true" t="shared" si="22" ref="AF14:AF35">$Z$8*$P$2/(SQRT(8)*G14)</f>
        <v>1.33057808315967</v>
      </c>
      <c r="AG14" s="191">
        <f>IF(ABS(AF14)&lt;10,SIGN(AF14)*ERF(ABS(AF14)),SIGN(AF14))</f>
        <v>0.940126160674359</v>
      </c>
      <c r="AH14" s="197">
        <f aca="true" t="shared" si="23" ref="AH14:AH35">MAX(MIN($Z$8*$P$2*($P$9+1)/(SQRT(8)*G14),10),-10)</f>
        <v>1.6914128175758516</v>
      </c>
      <c r="AI14" s="198">
        <f aca="true" t="shared" si="24" ref="AI14:AI35">MAX(MIN($Z$8*$P$2*(1-$P$9)/(SQRT(8)*G14),10),-10)</f>
        <v>0.9697433487434883</v>
      </c>
    </row>
    <row r="15" spans="1:35" s="20" customFormat="1" ht="15" customHeight="1">
      <c r="A15" s="126">
        <f>$J$3</f>
        <v>0.2</v>
      </c>
      <c r="B15" s="97">
        <f t="shared" si="0"/>
        <v>-9.8766895800401</v>
      </c>
      <c r="C15" s="134">
        <f t="shared" si="1"/>
        <v>0.040361999999999995</v>
      </c>
      <c r="D15" s="149">
        <f t="shared" si="2"/>
        <v>152687.9944490202</v>
      </c>
      <c r="E15" s="149">
        <f t="shared" si="3"/>
        <v>2500</v>
      </c>
      <c r="F15" s="107">
        <f aca="true" t="shared" si="25" ref="F15:F35">SQRT((1000*$J$5/D15)^2+(1000*$J$5/E15)^2+$P$4^2)</f>
        <v>244.77974310302397</v>
      </c>
      <c r="G15" s="174">
        <f t="shared" si="4"/>
        <v>277.9130846750156</v>
      </c>
      <c r="H15" s="100">
        <f t="shared" si="5"/>
        <v>1.854036684522359</v>
      </c>
      <c r="I15" s="97">
        <f t="shared" si="6"/>
        <v>0.3084699454750764</v>
      </c>
      <c r="J15" s="97">
        <f t="shared" si="7"/>
        <v>-0.012017462046513792</v>
      </c>
      <c r="K15" s="97">
        <f t="shared" si="8"/>
        <v>8.169004733253633E-05</v>
      </c>
      <c r="L15" s="97">
        <f t="shared" si="9"/>
        <v>7.17575801401765E-07</v>
      </c>
      <c r="M15" s="97">
        <f aca="true" t="shared" si="26" ref="M15:M35">$P$5*10^9*($J$5/G15)*10^($B$8/10)</f>
        <v>0.0012090110848609727</v>
      </c>
      <c r="N15" s="97">
        <f aca="true" t="shared" si="27" ref="N15:N35">10*LOG10(1/SQRT(1-($J$6^2)*M15))</f>
        <v>0.13405920942531446</v>
      </c>
      <c r="O15" s="97">
        <f t="shared" si="10"/>
        <v>4.5696726319599534E-08</v>
      </c>
      <c r="P15" s="97">
        <f t="shared" si="11"/>
        <v>0</v>
      </c>
      <c r="Q15" s="97">
        <f t="shared" si="12"/>
        <v>0.5</v>
      </c>
      <c r="R15" s="203">
        <f t="shared" si="13"/>
        <v>0.40274776919844424</v>
      </c>
      <c r="S15" s="98">
        <f t="shared" si="14"/>
        <v>3.1993143718937223</v>
      </c>
      <c r="T15" s="97">
        <f t="shared" si="15"/>
        <v>2.3084699454750766</v>
      </c>
      <c r="U15" s="97">
        <f t="shared" si="16"/>
        <v>2.8908444264186457</v>
      </c>
      <c r="V15" s="102">
        <f t="shared" si="17"/>
        <v>2.8006856281062777</v>
      </c>
      <c r="W15" s="103">
        <f t="shared" si="18"/>
        <v>-10.21121771467352</v>
      </c>
      <c r="X15" s="19"/>
      <c r="Y15" s="18">
        <f t="shared" si="19"/>
        <v>1.7566264497877127</v>
      </c>
      <c r="Z15" s="18">
        <f t="shared" si="20"/>
        <v>1.7566264497877127</v>
      </c>
      <c r="AA15" s="215">
        <f>ERF(AH15)+ERF(AI15)-1</f>
        <v>0.5947323395625617</v>
      </c>
      <c r="AB15" s="101">
        <f t="shared" si="21"/>
        <v>6</v>
      </c>
      <c r="AC15" s="192">
        <f aca="true" t="shared" si="28" ref="AC15:AC35">$J$2</f>
        <v>0.3</v>
      </c>
      <c r="AD15" s="194">
        <v>0</v>
      </c>
      <c r="AE15" s="207">
        <f aca="true" t="shared" si="29" ref="AE15:AE35">IF(A15=$J$2,V15,0)</f>
        <v>0</v>
      </c>
      <c r="AF15" s="161">
        <f t="shared" si="22"/>
        <v>0.9618705633788647</v>
      </c>
      <c r="AG15" s="185">
        <f>IF(ABS(AF15)&lt;10,SIGN(AF15)*ERF(ABS(AF15)),SIGN(AF15))</f>
        <v>0.826261881138857</v>
      </c>
      <c r="AH15" s="200">
        <f t="shared" si="23"/>
        <v>1.222716817854489</v>
      </c>
      <c r="AI15" s="201">
        <f t="shared" si="24"/>
        <v>0.7010243089032404</v>
      </c>
    </row>
    <row r="16" spans="1:35" s="26" customFormat="1" ht="15" customHeight="1">
      <c r="A16" s="127">
        <f aca="true" t="shared" si="30" ref="A16:A35">A15+$J$4</f>
        <v>0.21000000000000002</v>
      </c>
      <c r="B16" s="49">
        <f t="shared" si="0"/>
        <v>-9.8766895800401</v>
      </c>
      <c r="C16" s="135">
        <f t="shared" si="1"/>
        <v>0.040361999999999995</v>
      </c>
      <c r="D16" s="150">
        <f t="shared" si="2"/>
        <v>145417.1375704954</v>
      </c>
      <c r="E16" s="150">
        <f t="shared" si="3"/>
        <v>2380.9523809523807</v>
      </c>
      <c r="F16" s="108">
        <f t="shared" si="25"/>
        <v>252.3820429498197</v>
      </c>
      <c r="G16" s="108">
        <f t="shared" si="4"/>
        <v>284.63178951678015</v>
      </c>
      <c r="H16" s="50">
        <f t="shared" si="5"/>
        <v>1.9944571886174511</v>
      </c>
      <c r="I16" s="49">
        <f t="shared" si="6"/>
        <v>0.32389344274883025</v>
      </c>
      <c r="J16" s="49">
        <f t="shared" si="7"/>
        <v>-0.012618335148839482</v>
      </c>
      <c r="K16" s="49">
        <f t="shared" si="8"/>
        <v>9.006261060063316E-05</v>
      </c>
      <c r="L16" s="49">
        <f t="shared" si="9"/>
        <v>8.722049919032922E-07</v>
      </c>
      <c r="M16" s="49">
        <f t="shared" si="26"/>
        <v>0.0011804724994717833</v>
      </c>
      <c r="N16" s="49">
        <f t="shared" si="27"/>
        <v>0.13079748333003777</v>
      </c>
      <c r="O16" s="49">
        <f t="shared" si="10"/>
        <v>5.415132997566019E-08</v>
      </c>
      <c r="P16" s="49">
        <f t="shared" si="11"/>
        <v>0</v>
      </c>
      <c r="Q16" s="49">
        <f t="shared" si="12"/>
        <v>0.5</v>
      </c>
      <c r="R16" s="206">
        <f t="shared" si="13"/>
        <v>0.40423962459449214</v>
      </c>
      <c r="S16" s="53">
        <f t="shared" si="14"/>
        <v>3.3533886656471332</v>
      </c>
      <c r="T16" s="49">
        <f t="shared" si="15"/>
        <v>2.3238934427488305</v>
      </c>
      <c r="U16" s="49">
        <f t="shared" si="16"/>
        <v>3.029495222898303</v>
      </c>
      <c r="V16" s="54">
        <f t="shared" si="17"/>
        <v>2.6466113343528668</v>
      </c>
      <c r="W16" s="99">
        <f t="shared" si="18"/>
        <v>-10.228133067343322</v>
      </c>
      <c r="X16" s="25">
        <f aca="true" t="shared" si="31" ref="X16:X34">(V17-V15)/2</f>
        <v>-0.15776847779914105</v>
      </c>
      <c r="Y16" s="23">
        <f t="shared" si="19"/>
        <v>1.7566264497877127</v>
      </c>
      <c r="Z16" s="23">
        <f t="shared" si="20"/>
        <v>1.7566264497877127</v>
      </c>
      <c r="AA16" s="214">
        <f>ERF(AH16)+ERF(AI16)-1</f>
        <v>0.5756126354206494</v>
      </c>
      <c r="AB16" s="52">
        <f t="shared" si="21"/>
        <v>6</v>
      </c>
      <c r="AC16" s="236">
        <f t="shared" si="28"/>
        <v>0.3</v>
      </c>
      <c r="AD16" s="237">
        <f aca="true" t="shared" si="32" ref="AD16:AD34">AD17</f>
        <v>7.9</v>
      </c>
      <c r="AE16" s="210">
        <f t="shared" si="29"/>
        <v>0</v>
      </c>
      <c r="AF16" s="214">
        <f t="shared" si="22"/>
        <v>0.9391657052100151</v>
      </c>
      <c r="AG16" s="238">
        <f>IF(ABS(AF16)&lt;10,SIGN(AF16)*ERF(ABS(AF16)),SIGN(AF16))</f>
        <v>0.8158815682470985</v>
      </c>
      <c r="AH16" s="202">
        <f t="shared" si="23"/>
        <v>1.193854710012731</v>
      </c>
      <c r="AI16" s="202">
        <f t="shared" si="24"/>
        <v>0.6844767004072991</v>
      </c>
    </row>
    <row r="17" spans="1:35" s="26" customFormat="1" ht="15" customHeight="1">
      <c r="A17" s="127">
        <f t="shared" si="30"/>
        <v>0.22000000000000003</v>
      </c>
      <c r="B17" s="49">
        <f t="shared" si="0"/>
        <v>-9.8766895800401</v>
      </c>
      <c r="C17" s="135">
        <f t="shared" si="1"/>
        <v>0.040361999999999995</v>
      </c>
      <c r="D17" s="150">
        <f t="shared" si="2"/>
        <v>138807.26768092744</v>
      </c>
      <c r="E17" s="150">
        <f t="shared" si="3"/>
        <v>2272.7272727272725</v>
      </c>
      <c r="F17" s="108">
        <f t="shared" si="25"/>
        <v>260.1165853740102</v>
      </c>
      <c r="G17" s="108">
        <f t="shared" si="4"/>
        <v>291.51191740070374</v>
      </c>
      <c r="H17" s="50">
        <f t="shared" si="5"/>
        <v>2.1422683404925817</v>
      </c>
      <c r="I17" s="49">
        <f t="shared" si="6"/>
        <v>0.33931694002258406</v>
      </c>
      <c r="J17" s="49">
        <f t="shared" si="7"/>
        <v>-0.013219208251165173</v>
      </c>
      <c r="K17" s="49">
        <f t="shared" si="8"/>
        <v>9.884345843505206E-05</v>
      </c>
      <c r="L17" s="49">
        <f t="shared" si="9"/>
        <v>1.0505709510195672E-06</v>
      </c>
      <c r="M17" s="49">
        <f t="shared" si="26"/>
        <v>0.0011526115398505106</v>
      </c>
      <c r="N17" s="49">
        <f t="shared" si="27"/>
        <v>0.1276179235813984</v>
      </c>
      <c r="O17" s="49">
        <f t="shared" si="10"/>
        <v>6.359268256428408E-08</v>
      </c>
      <c r="P17" s="49">
        <f t="shared" si="11"/>
        <v>0</v>
      </c>
      <c r="Q17" s="49">
        <f t="shared" si="12"/>
        <v>0.5</v>
      </c>
      <c r="R17" s="206">
        <f t="shared" si="13"/>
        <v>0.4056470092318065</v>
      </c>
      <c r="S17" s="53">
        <f t="shared" si="14"/>
        <v>3.5148513274920044</v>
      </c>
      <c r="T17" s="49">
        <f t="shared" si="15"/>
        <v>2.339316940022584</v>
      </c>
      <c r="U17" s="49">
        <f t="shared" si="16"/>
        <v>3.1755343874694204</v>
      </c>
      <c r="V17" s="54">
        <f t="shared" si="17"/>
        <v>2.4851486725079956</v>
      </c>
      <c r="W17" s="99">
        <f t="shared" si="18"/>
        <v>-10.244963949254391</v>
      </c>
      <c r="X17" s="25">
        <f t="shared" si="31"/>
        <v>-0.16520089326781973</v>
      </c>
      <c r="Y17" s="23">
        <f t="shared" si="19"/>
        <v>1.7566264497877127</v>
      </c>
      <c r="Z17" s="23">
        <f t="shared" si="20"/>
        <v>1.7566264497877127</v>
      </c>
      <c r="AA17" s="214">
        <f>ERF(AH17)+ERF(AI17)-1</f>
        <v>0.5561711600722297</v>
      </c>
      <c r="AB17" s="52">
        <f t="shared" si="21"/>
        <v>6</v>
      </c>
      <c r="AC17" s="236">
        <f t="shared" si="28"/>
        <v>0.3</v>
      </c>
      <c r="AD17" s="237">
        <f t="shared" si="32"/>
        <v>7.9</v>
      </c>
      <c r="AE17" s="210">
        <f t="shared" si="29"/>
        <v>0</v>
      </c>
      <c r="AF17" s="214">
        <f t="shared" si="22"/>
        <v>0.9169999556459645</v>
      </c>
      <c r="AG17" s="238">
        <f>IF(ABS(AF17)&lt;10,SIGN(AF17)*ERF(ABS(AF17)),SIGN(AF17))</f>
        <v>0.8053115051664732</v>
      </c>
      <c r="AH17" s="202">
        <f t="shared" si="23"/>
        <v>1.1656779097194463</v>
      </c>
      <c r="AI17" s="202">
        <f t="shared" si="24"/>
        <v>0.6683220015724827</v>
      </c>
    </row>
    <row r="18" spans="1:35" s="26" customFormat="1" ht="15" customHeight="1">
      <c r="A18" s="127">
        <f t="shared" si="30"/>
        <v>0.23000000000000004</v>
      </c>
      <c r="B18" s="49">
        <f t="shared" si="0"/>
        <v>-9.8766895800401</v>
      </c>
      <c r="C18" s="135">
        <f t="shared" si="1"/>
        <v>0.040361999999999995</v>
      </c>
      <c r="D18" s="150">
        <f t="shared" si="2"/>
        <v>132772.1690861045</v>
      </c>
      <c r="E18" s="150">
        <f t="shared" si="3"/>
        <v>2173.9130434782605</v>
      </c>
      <c r="F18" s="108">
        <f t="shared" si="25"/>
        <v>267.97191976569627</v>
      </c>
      <c r="G18" s="108">
        <f t="shared" si="4"/>
        <v>298.5423081958615</v>
      </c>
      <c r="H18" s="50">
        <f t="shared" si="5"/>
        <v>2.2974869175176775</v>
      </c>
      <c r="I18" s="49">
        <f t="shared" si="6"/>
        <v>0.3547404372963379</v>
      </c>
      <c r="J18" s="49">
        <f t="shared" si="7"/>
        <v>-0.013820081353490861</v>
      </c>
      <c r="K18" s="49">
        <f t="shared" si="8"/>
        <v>0.0001080325718160698</v>
      </c>
      <c r="L18" s="49">
        <f t="shared" si="9"/>
        <v>1.2549862664646192E-06</v>
      </c>
      <c r="M18" s="49">
        <f t="shared" si="26"/>
        <v>0.0011254686212835336</v>
      </c>
      <c r="N18" s="49">
        <f t="shared" si="27"/>
        <v>0.12452477918165733</v>
      </c>
      <c r="O18" s="49">
        <f t="shared" si="10"/>
        <v>7.407174090756641E-08</v>
      </c>
      <c r="P18" s="49">
        <f t="shared" si="11"/>
        <v>0</v>
      </c>
      <c r="Q18" s="49">
        <f t="shared" si="12"/>
        <v>0.5</v>
      </c>
      <c r="R18" s="206">
        <f t="shared" si="13"/>
        <v>0.4070369891290926</v>
      </c>
      <c r="S18" s="53">
        <f t="shared" si="14"/>
        <v>3.6837904521827727</v>
      </c>
      <c r="T18" s="49">
        <f t="shared" si="15"/>
        <v>2.354740437296338</v>
      </c>
      <c r="U18" s="49">
        <f t="shared" si="16"/>
        <v>3.329050014886435</v>
      </c>
      <c r="V18" s="54">
        <f t="shared" si="17"/>
        <v>2.3162095478172273</v>
      </c>
      <c r="W18" s="99">
        <f t="shared" si="18"/>
        <v>-10.26177742642543</v>
      </c>
      <c r="X18" s="25">
        <f t="shared" si="31"/>
        <v>-0.17273433438567243</v>
      </c>
      <c r="Y18" s="23">
        <f t="shared" si="19"/>
        <v>1.7566264497877127</v>
      </c>
      <c r="Z18" s="23">
        <f t="shared" si="20"/>
        <v>1.7566264497877127</v>
      </c>
      <c r="AA18" s="214">
        <f>ERF(AH18)+ERF(AI18)-1</f>
        <v>0.5364726787906207</v>
      </c>
      <c r="AB18" s="52">
        <f t="shared" si="21"/>
        <v>6</v>
      </c>
      <c r="AC18" s="236">
        <f t="shared" si="28"/>
        <v>0.3</v>
      </c>
      <c r="AD18" s="237">
        <f t="shared" si="32"/>
        <v>7.9</v>
      </c>
      <c r="AE18" s="210">
        <f t="shared" si="29"/>
        <v>0</v>
      </c>
      <c r="AF18" s="214">
        <f t="shared" si="22"/>
        <v>0.8954054684649251</v>
      </c>
      <c r="AG18" s="238">
        <f>IF(ABS(AF18)&lt;10,SIGN(AF18)*ERF(ABS(AF18)),SIGN(AF18))</f>
        <v>0.7945922467105664</v>
      </c>
      <c r="AH18" s="202">
        <f t="shared" si="23"/>
        <v>1.1382272904215147</v>
      </c>
      <c r="AI18" s="202">
        <f t="shared" si="24"/>
        <v>0.6525836465083352</v>
      </c>
    </row>
    <row r="19" spans="1:35" s="26" customFormat="1" ht="15" customHeight="1">
      <c r="A19" s="127">
        <f t="shared" si="30"/>
        <v>0.24000000000000005</v>
      </c>
      <c r="B19" s="49">
        <f t="shared" si="0"/>
        <v>-9.8766895800401</v>
      </c>
      <c r="C19" s="135">
        <f t="shared" si="1"/>
        <v>0.040361999999999995</v>
      </c>
      <c r="D19" s="150">
        <f t="shared" si="2"/>
        <v>127239.99537418348</v>
      </c>
      <c r="E19" s="150">
        <f t="shared" si="3"/>
        <v>2083.333333333333</v>
      </c>
      <c r="F19" s="108">
        <f t="shared" si="25"/>
        <v>275.93773028050856</v>
      </c>
      <c r="G19" s="108">
        <f t="shared" si="4"/>
        <v>305.712595410066</v>
      </c>
      <c r="H19" s="50">
        <f t="shared" si="5"/>
        <v>2.4601544793821066</v>
      </c>
      <c r="I19" s="49">
        <f t="shared" si="6"/>
        <v>0.3701639345700917</v>
      </c>
      <c r="J19" s="49">
        <f t="shared" si="7"/>
        <v>-0.014420954455816553</v>
      </c>
      <c r="K19" s="49">
        <f t="shared" si="8"/>
        <v>0.00011762993083968709</v>
      </c>
      <c r="L19" s="49">
        <f t="shared" si="9"/>
        <v>1.4878709000084825E-06</v>
      </c>
      <c r="M19" s="49">
        <f t="shared" si="26"/>
        <v>0.00109907149736277</v>
      </c>
      <c r="N19" s="49">
        <f t="shared" si="27"/>
        <v>0.12152084400496317</v>
      </c>
      <c r="O19" s="49">
        <f t="shared" si="10"/>
        <v>8.563881014056474E-08</v>
      </c>
      <c r="P19" s="49">
        <f t="shared" si="11"/>
        <v>0</v>
      </c>
      <c r="Q19" s="49">
        <f t="shared" si="12"/>
        <v>0.5</v>
      </c>
      <c r="R19" s="206">
        <f t="shared" si="13"/>
        <v>0.4084791647964776</v>
      </c>
      <c r="S19" s="53">
        <f t="shared" si="14"/>
        <v>3.860319996263349</v>
      </c>
      <c r="T19" s="49">
        <f t="shared" si="15"/>
        <v>2.370163934570092</v>
      </c>
      <c r="U19" s="49">
        <f t="shared" si="16"/>
        <v>3.4901560616932574</v>
      </c>
      <c r="V19" s="54">
        <f t="shared" si="17"/>
        <v>2.139680003736651</v>
      </c>
      <c r="W19" s="99">
        <f t="shared" si="18"/>
        <v>-10.278643099366569</v>
      </c>
      <c r="X19" s="25">
        <f t="shared" si="31"/>
        <v>-0.18039694777020387</v>
      </c>
      <c r="Y19" s="23">
        <f t="shared" si="19"/>
        <v>1.7566264497877127</v>
      </c>
      <c r="Z19" s="23">
        <f t="shared" si="20"/>
        <v>1.7566264497877127</v>
      </c>
      <c r="AA19" s="214">
        <f>ERF(AH19)+ERF(AI19)-1</f>
        <v>0.5165788671970983</v>
      </c>
      <c r="AB19" s="52">
        <f t="shared" si="21"/>
        <v>6</v>
      </c>
      <c r="AC19" s="236">
        <f t="shared" si="28"/>
        <v>0.3</v>
      </c>
      <c r="AD19" s="237">
        <f t="shared" si="32"/>
        <v>7.9</v>
      </c>
      <c r="AE19" s="210">
        <f t="shared" si="29"/>
        <v>0</v>
      </c>
      <c r="AF19" s="214">
        <f t="shared" si="22"/>
        <v>0.8744043239963728</v>
      </c>
      <c r="AG19" s="238">
        <f>IF(ABS(AF19)&lt;10,SIGN(AF19)*ERF(ABS(AF19)),SIGN(AF19))</f>
        <v>0.7837622090484313</v>
      </c>
      <c r="AH19" s="202">
        <f t="shared" si="23"/>
        <v>1.1115309203343722</v>
      </c>
      <c r="AI19" s="202">
        <f t="shared" si="24"/>
        <v>0.6372777276583734</v>
      </c>
    </row>
    <row r="20" spans="1:35" s="20" customFormat="1" ht="15" customHeight="1">
      <c r="A20" s="126">
        <f t="shared" si="30"/>
        <v>0.25000000000000006</v>
      </c>
      <c r="B20" s="97">
        <f t="shared" si="0"/>
        <v>-9.8766895800401</v>
      </c>
      <c r="C20" s="134">
        <f t="shared" si="1"/>
        <v>0.040361999999999995</v>
      </c>
      <c r="D20" s="149">
        <f t="shared" si="2"/>
        <v>122150.39555921614</v>
      </c>
      <c r="E20" s="149">
        <f t="shared" si="3"/>
        <v>1999.9999999999995</v>
      </c>
      <c r="F20" s="107">
        <f t="shared" si="25"/>
        <v>284.00472111387967</v>
      </c>
      <c r="G20" s="107">
        <f t="shared" si="4"/>
        <v>313.01316524225075</v>
      </c>
      <c r="H20" s="100">
        <f t="shared" si="5"/>
        <v>2.6303412449756975</v>
      </c>
      <c r="I20" s="97">
        <f t="shared" si="6"/>
        <v>0.3855874318438456</v>
      </c>
      <c r="J20" s="97">
        <f t="shared" si="7"/>
        <v>-0.015021827558142244</v>
      </c>
      <c r="K20" s="97">
        <f t="shared" si="8"/>
        <v>0.00012763551471813099</v>
      </c>
      <c r="L20" s="97">
        <f t="shared" si="9"/>
        <v>1.751752157405597E-06</v>
      </c>
      <c r="M20" s="97">
        <f t="shared" si="26"/>
        <v>0.0010734372777578191</v>
      </c>
      <c r="N20" s="97">
        <f t="shared" si="27"/>
        <v>0.11860769740920193</v>
      </c>
      <c r="O20" s="97">
        <f t="shared" si="10"/>
        <v>9.834361357208277E-08</v>
      </c>
      <c r="P20" s="97">
        <f t="shared" si="11"/>
        <v>0</v>
      </c>
      <c r="Q20" s="97">
        <f t="shared" si="12"/>
        <v>0.5</v>
      </c>
      <c r="R20" s="205">
        <f t="shared" si="13"/>
        <v>0.41004612339866364</v>
      </c>
      <c r="S20" s="98">
        <f t="shared" si="14"/>
        <v>4.04458434772318</v>
      </c>
      <c r="T20" s="97">
        <f t="shared" si="15"/>
        <v>2.3855874318438457</v>
      </c>
      <c r="U20" s="97">
        <f t="shared" si="16"/>
        <v>3.6589969158793347</v>
      </c>
      <c r="V20" s="102">
        <f t="shared" si="17"/>
        <v>1.9554156522768196</v>
      </c>
      <c r="W20" s="103">
        <f t="shared" si="18"/>
        <v>-10.295633555242508</v>
      </c>
      <c r="X20" s="27">
        <f t="shared" si="31"/>
        <v>-0.1882228005314961</v>
      </c>
      <c r="Y20" s="18">
        <f t="shared" si="19"/>
        <v>1.7566264497877127</v>
      </c>
      <c r="Z20" s="18">
        <f t="shared" si="20"/>
        <v>1.7566264497877127</v>
      </c>
      <c r="AA20" s="216">
        <f>ERF(AH20)+ERF(AI20)-1</f>
        <v>0.4965480299408642</v>
      </c>
      <c r="AB20" s="101">
        <f t="shared" si="21"/>
        <v>6</v>
      </c>
      <c r="AC20" s="239">
        <f t="shared" si="28"/>
        <v>0.3</v>
      </c>
      <c r="AD20" s="240">
        <f t="shared" si="32"/>
        <v>7.9</v>
      </c>
      <c r="AE20" s="241">
        <f t="shared" si="29"/>
        <v>0</v>
      </c>
      <c r="AF20" s="216">
        <f t="shared" si="22"/>
        <v>0.8540101344294283</v>
      </c>
      <c r="AG20" s="242">
        <f>IF(ABS(AF20)&lt;10,SIGN(AF20)*ERF(ABS(AF20)),SIGN(AF20))</f>
        <v>0.7728574900462455</v>
      </c>
      <c r="AH20" s="200">
        <f t="shared" si="23"/>
        <v>1.0856061030882562</v>
      </c>
      <c r="AI20" s="200">
        <f t="shared" si="24"/>
        <v>0.6224141657706003</v>
      </c>
    </row>
    <row r="21" spans="1:35" s="26" customFormat="1" ht="15" customHeight="1">
      <c r="A21" s="127">
        <f t="shared" si="30"/>
        <v>0.26000000000000006</v>
      </c>
      <c r="B21" s="49">
        <f t="shared" si="0"/>
        <v>-9.8766895800401</v>
      </c>
      <c r="C21" s="135">
        <f t="shared" si="1"/>
        <v>0.040361999999999995</v>
      </c>
      <c r="D21" s="150">
        <f t="shared" si="2"/>
        <v>117452.3034223232</v>
      </c>
      <c r="E21" s="150">
        <f t="shared" si="3"/>
        <v>1923.0769230769226</v>
      </c>
      <c r="F21" s="108">
        <f t="shared" si="25"/>
        <v>292.1645112787559</v>
      </c>
      <c r="G21" s="108">
        <f t="shared" si="4"/>
        <v>320.435113011596</v>
      </c>
      <c r="H21" s="50">
        <f t="shared" si="5"/>
        <v>2.808153354418321</v>
      </c>
      <c r="I21" s="49">
        <f t="shared" si="6"/>
        <v>0.4010109291175994</v>
      </c>
      <c r="J21" s="49">
        <f t="shared" si="7"/>
        <v>-0.015622700660467934</v>
      </c>
      <c r="K21" s="49">
        <f t="shared" si="8"/>
        <v>0.0001380493017795409</v>
      </c>
      <c r="L21" s="49">
        <f t="shared" si="9"/>
        <v>2.049264664084512E-06</v>
      </c>
      <c r="M21" s="49">
        <f t="shared" si="26"/>
        <v>0.0010485742240983458</v>
      </c>
      <c r="N21" s="49">
        <f t="shared" si="27"/>
        <v>0.11578591698778147</v>
      </c>
      <c r="O21" s="49">
        <f t="shared" si="10"/>
        <v>1.1223536661164601E-07</v>
      </c>
      <c r="P21" s="49">
        <f t="shared" si="11"/>
        <v>0</v>
      </c>
      <c r="Q21" s="49">
        <f t="shared" si="12"/>
        <v>0.5</v>
      </c>
      <c r="R21" s="206">
        <f t="shared" si="13"/>
        <v>0.41181323530260805</v>
      </c>
      <c r="S21" s="53">
        <f t="shared" si="14"/>
        <v>4.236765597326341</v>
      </c>
      <c r="T21" s="49">
        <f t="shared" si="15"/>
        <v>2.401010929117599</v>
      </c>
      <c r="U21" s="49">
        <f t="shared" si="16"/>
        <v>3.8357546682087422</v>
      </c>
      <c r="V21" s="54">
        <f t="shared" si="17"/>
        <v>1.7632344026736586</v>
      </c>
      <c r="W21" s="99">
        <f t="shared" si="18"/>
        <v>-10.312824164420208</v>
      </c>
      <c r="X21" s="25">
        <f t="shared" si="31"/>
        <v>-0.1962521547288567</v>
      </c>
      <c r="Y21" s="23">
        <f t="shared" si="19"/>
        <v>1.7566264497877127</v>
      </c>
      <c r="Z21" s="23">
        <f t="shared" si="20"/>
        <v>1.7566264497877127</v>
      </c>
      <c r="AA21" s="214">
        <f>ERF(AH21)+ERF(AI21)-1</f>
        <v>0.4764346520035976</v>
      </c>
      <c r="AB21" s="52">
        <f t="shared" si="21"/>
        <v>6</v>
      </c>
      <c r="AC21" s="236">
        <f t="shared" si="28"/>
        <v>0.3</v>
      </c>
      <c r="AD21" s="237">
        <f t="shared" si="32"/>
        <v>7.9</v>
      </c>
      <c r="AE21" s="210">
        <f t="shared" si="29"/>
        <v>0</v>
      </c>
      <c r="AF21" s="214">
        <f t="shared" si="22"/>
        <v>0.8342294725891718</v>
      </c>
      <c r="AG21" s="238">
        <f>IF(ABS(AF21)&lt;10,SIGN(AF21)*ERF(ABS(AF21)),SIGN(AF21))</f>
        <v>0.7619115609496367</v>
      </c>
      <c r="AH21" s="202">
        <f t="shared" si="23"/>
        <v>1.060461193969286</v>
      </c>
      <c r="AI21" s="202">
        <f t="shared" si="24"/>
        <v>0.6079977512090574</v>
      </c>
    </row>
    <row r="22" spans="1:35" s="26" customFormat="1" ht="15" customHeight="1">
      <c r="A22" s="127">
        <f t="shared" si="30"/>
        <v>0.2700000000000001</v>
      </c>
      <c r="B22" s="49">
        <f t="shared" si="0"/>
        <v>-9.8766895800401</v>
      </c>
      <c r="C22" s="135">
        <f t="shared" si="1"/>
        <v>0.040361999999999995</v>
      </c>
      <c r="D22" s="150">
        <f t="shared" si="2"/>
        <v>113102.21811038528</v>
      </c>
      <c r="E22" s="150">
        <f t="shared" si="3"/>
        <v>1851.8518518518513</v>
      </c>
      <c r="F22" s="108">
        <f t="shared" si="25"/>
        <v>300.40953896257025</v>
      </c>
      <c r="G22" s="108">
        <f t="shared" si="4"/>
        <v>327.97019849325335</v>
      </c>
      <c r="H22" s="50">
        <f t="shared" si="5"/>
        <v>2.9937358132375986</v>
      </c>
      <c r="I22" s="49">
        <f t="shared" si="6"/>
        <v>0.41643442639135325</v>
      </c>
      <c r="J22" s="49">
        <f t="shared" si="7"/>
        <v>-0.016223573762793625</v>
      </c>
      <c r="K22" s="49">
        <f t="shared" si="8"/>
        <v>0.00014887126946809415</v>
      </c>
      <c r="L22" s="49">
        <f t="shared" si="9"/>
        <v>2.383150335024789E-06</v>
      </c>
      <c r="M22" s="49">
        <f t="shared" si="26"/>
        <v>0.0010244833266669863</v>
      </c>
      <c r="N22" s="49">
        <f t="shared" si="27"/>
        <v>0.11305526417347457</v>
      </c>
      <c r="O22" s="49">
        <f t="shared" si="10"/>
        <v>1.273628403020144E-07</v>
      </c>
      <c r="P22" s="49">
        <f t="shared" si="11"/>
        <v>0</v>
      </c>
      <c r="Q22" s="49">
        <f t="shared" si="12"/>
        <v>0.5</v>
      </c>
      <c r="R22" s="206">
        <f t="shared" si="13"/>
        <v>0.4138606428652918</v>
      </c>
      <c r="S22" s="53">
        <f t="shared" si="14"/>
        <v>4.437088657180894</v>
      </c>
      <c r="T22" s="49">
        <f t="shared" si="15"/>
        <v>2.416434426391353</v>
      </c>
      <c r="U22" s="49">
        <f t="shared" si="16"/>
        <v>4.020654230789541</v>
      </c>
      <c r="V22" s="54">
        <f t="shared" si="17"/>
        <v>1.5629113428191062</v>
      </c>
      <c r="W22" s="99">
        <f t="shared" si="18"/>
        <v>-10.330295069256644</v>
      </c>
      <c r="X22" s="25">
        <f t="shared" si="31"/>
        <v>-0.20453221720561832</v>
      </c>
      <c r="Y22" s="23">
        <f t="shared" si="19"/>
        <v>1.7566264497877127</v>
      </c>
      <c r="Z22" s="23">
        <f t="shared" si="20"/>
        <v>1.7566264497877127</v>
      </c>
      <c r="AA22" s="214">
        <f>ERF(AH22)+ERF(AI22)-1</f>
        <v>0.4562893732492799</v>
      </c>
      <c r="AB22" s="52">
        <f t="shared" si="21"/>
        <v>6</v>
      </c>
      <c r="AC22" s="236">
        <f t="shared" si="28"/>
        <v>0.3</v>
      </c>
      <c r="AD22" s="237">
        <f t="shared" si="32"/>
        <v>7.9</v>
      </c>
      <c r="AE22" s="210">
        <f t="shared" si="29"/>
        <v>0</v>
      </c>
      <c r="AF22" s="214">
        <f t="shared" si="22"/>
        <v>0.8150631263291879</v>
      </c>
      <c r="AG22" s="238">
        <f>IF(ABS(AF22)&lt;10,SIGN(AF22)*ERF(ABS(AF22)),SIGN(AF22))</f>
        <v>0.7509553294137117</v>
      </c>
      <c r="AH22" s="202">
        <f t="shared" si="23"/>
        <v>1.0360971944862558</v>
      </c>
      <c r="AI22" s="202">
        <f t="shared" si="24"/>
        <v>0.59402905817212</v>
      </c>
    </row>
    <row r="23" spans="1:35" s="26" customFormat="1" ht="15" customHeight="1">
      <c r="A23" s="127">
        <f t="shared" si="30"/>
        <v>0.2800000000000001</v>
      </c>
      <c r="B23" s="49">
        <f t="shared" si="0"/>
        <v>-9.8766895800401</v>
      </c>
      <c r="C23" s="135">
        <f t="shared" si="1"/>
        <v>0.040361999999999995</v>
      </c>
      <c r="D23" s="150">
        <f t="shared" si="2"/>
        <v>109062.85317787151</v>
      </c>
      <c r="E23" s="150">
        <f t="shared" si="3"/>
        <v>1785.714285714285</v>
      </c>
      <c r="F23" s="108">
        <f t="shared" si="25"/>
        <v>308.73297517729065</v>
      </c>
      <c r="G23" s="108">
        <f t="shared" si="4"/>
        <v>335.610801318762</v>
      </c>
      <c r="H23" s="50">
        <f t="shared" si="5"/>
        <v>3.187283735063475</v>
      </c>
      <c r="I23" s="49">
        <f t="shared" si="6"/>
        <v>0.43185792366510706</v>
      </c>
      <c r="J23" s="49">
        <f t="shared" si="7"/>
        <v>-0.016824446865119313</v>
      </c>
      <c r="K23" s="49">
        <f t="shared" si="8"/>
        <v>0.00016010139434425726</v>
      </c>
      <c r="L23" s="49">
        <f t="shared" si="9"/>
        <v>2.756258345569125E-06</v>
      </c>
      <c r="M23" s="49">
        <f t="shared" si="26"/>
        <v>0.0010011596726914292</v>
      </c>
      <c r="N23" s="49">
        <f t="shared" si="27"/>
        <v>0.11041484430839547</v>
      </c>
      <c r="O23" s="49">
        <f t="shared" si="10"/>
        <v>1.4377442282553776E-07</v>
      </c>
      <c r="P23" s="49">
        <f t="shared" si="11"/>
        <v>0</v>
      </c>
      <c r="Q23" s="49">
        <f t="shared" si="12"/>
        <v>0.5</v>
      </c>
      <c r="R23" s="206">
        <f t="shared" si="13"/>
        <v>0.41627062866783193</v>
      </c>
      <c r="S23" s="53">
        <f t="shared" si="14"/>
        <v>4.645830031737578</v>
      </c>
      <c r="T23" s="49">
        <f t="shared" si="15"/>
        <v>2.431857923665107</v>
      </c>
      <c r="U23" s="49">
        <f t="shared" si="16"/>
        <v>4.213972108072471</v>
      </c>
      <c r="V23" s="54">
        <f t="shared" si="17"/>
        <v>1.354169968262422</v>
      </c>
      <c r="W23" s="99">
        <f t="shared" si="18"/>
        <v>-10.348128552332938</v>
      </c>
      <c r="X23" s="25">
        <f t="shared" si="31"/>
        <v>-0.2131184569513236</v>
      </c>
      <c r="Y23" s="23">
        <f t="shared" si="19"/>
        <v>1.7566264497877127</v>
      </c>
      <c r="Z23" s="23">
        <f t="shared" si="20"/>
        <v>1.7566264497877127</v>
      </c>
      <c r="AA23" s="214">
        <f>ERF(AH23)+ERF(AI23)-1</f>
        <v>0.4361587240165865</v>
      </c>
      <c r="AB23" s="52">
        <f t="shared" si="21"/>
        <v>6</v>
      </c>
      <c r="AC23" s="236">
        <f t="shared" si="28"/>
        <v>0.3</v>
      </c>
      <c r="AD23" s="237">
        <f t="shared" si="32"/>
        <v>7.9</v>
      </c>
      <c r="AE23" s="210">
        <f t="shared" si="29"/>
        <v>0</v>
      </c>
      <c r="AF23" s="214">
        <f t="shared" si="22"/>
        <v>0.7965071871236323</v>
      </c>
      <c r="AG23" s="238">
        <f>IF(ABS(AF23)&lt;10,SIGN(AF23)*ERF(ABS(AF23)),SIGN(AF23))</f>
        <v>0.7400167942348282</v>
      </c>
      <c r="AH23" s="202">
        <f t="shared" si="23"/>
        <v>1.012509136174109</v>
      </c>
      <c r="AI23" s="202">
        <f t="shared" si="24"/>
        <v>0.5805052380731559</v>
      </c>
    </row>
    <row r="24" spans="1:35" s="26" customFormat="1" ht="15" customHeight="1">
      <c r="A24" s="127">
        <f t="shared" si="30"/>
        <v>0.2900000000000001</v>
      </c>
      <c r="B24" s="49">
        <f t="shared" si="0"/>
        <v>-9.8766895800401</v>
      </c>
      <c r="C24" s="135">
        <f t="shared" si="1"/>
        <v>0.040361999999999995</v>
      </c>
      <c r="D24" s="150">
        <f t="shared" si="2"/>
        <v>105302.06513725528</v>
      </c>
      <c r="E24" s="150">
        <f t="shared" si="3"/>
        <v>1724.137931034482</v>
      </c>
      <c r="F24" s="108">
        <f t="shared" si="25"/>
        <v>317.1286461944223</v>
      </c>
      <c r="G24" s="108">
        <f t="shared" si="4"/>
        <v>343.3498772929838</v>
      </c>
      <c r="H24" s="50">
        <f t="shared" si="5"/>
        <v>3.389046326898417</v>
      </c>
      <c r="I24" s="49">
        <f t="shared" si="6"/>
        <v>0.44728142093886086</v>
      </c>
      <c r="J24" s="49">
        <f t="shared" si="7"/>
        <v>-0.017425319967445004</v>
      </c>
      <c r="K24" s="49">
        <f t="shared" si="8"/>
        <v>0.0001717396520847231</v>
      </c>
      <c r="L24" s="49">
        <f t="shared" si="9"/>
        <v>3.171545106061299E-06</v>
      </c>
      <c r="M24" s="49">
        <f t="shared" si="26"/>
        <v>0.0009785936219027331</v>
      </c>
      <c r="N24" s="49">
        <f t="shared" si="27"/>
        <v>0.10786324331400848</v>
      </c>
      <c r="O24" s="49">
        <f t="shared" si="10"/>
        <v>1.6151815832032845E-07</v>
      </c>
      <c r="P24" s="49">
        <f t="shared" si="11"/>
        <v>0</v>
      </c>
      <c r="Q24" s="49">
        <f t="shared" si="12"/>
        <v>0.5</v>
      </c>
      <c r="R24" s="206">
        <f t="shared" si="13"/>
        <v>0.4191312468689907</v>
      </c>
      <c r="S24" s="53">
        <f t="shared" si="14"/>
        <v>4.863325571083541</v>
      </c>
      <c r="T24" s="49">
        <f t="shared" si="15"/>
        <v>2.447281420938861</v>
      </c>
      <c r="U24" s="49">
        <f t="shared" si="16"/>
        <v>4.41604415014468</v>
      </c>
      <c r="V24" s="54">
        <f t="shared" si="17"/>
        <v>1.136674428916459</v>
      </c>
      <c r="W24" s="99">
        <f t="shared" si="18"/>
        <v>-10.366412667807852</v>
      </c>
      <c r="X24" s="25">
        <f t="shared" si="31"/>
        <v>-0.22207465286122208</v>
      </c>
      <c r="Y24" s="23">
        <f t="shared" si="19"/>
        <v>1.7566264497877127</v>
      </c>
      <c r="Z24" s="23">
        <f t="shared" si="20"/>
        <v>1.7566264497877127</v>
      </c>
      <c r="AA24" s="214">
        <f>ERF(AH24)+ERF(AI24)-1</f>
        <v>0.4160851753326775</v>
      </c>
      <c r="AB24" s="52">
        <f t="shared" si="21"/>
        <v>6</v>
      </c>
      <c r="AC24" s="236">
        <f t="shared" si="28"/>
        <v>0.3</v>
      </c>
      <c r="AD24" s="237">
        <f t="shared" si="32"/>
        <v>7.9</v>
      </c>
      <c r="AE24" s="210">
        <f t="shared" si="29"/>
        <v>0</v>
      </c>
      <c r="AF24" s="214">
        <f t="shared" si="22"/>
        <v>0.7785539853232907</v>
      </c>
      <c r="AG24" s="238">
        <f>IF(ABS(AF24)&lt;10,SIGN(AF24)*ERF(ABS(AF24)),SIGN(AF24))</f>
        <v>0.7291212508775611</v>
      </c>
      <c r="AH24" s="202">
        <f t="shared" si="23"/>
        <v>0.9896872694787594</v>
      </c>
      <c r="AI24" s="202">
        <f t="shared" si="24"/>
        <v>0.5674207011678221</v>
      </c>
    </row>
    <row r="25" spans="1:35" s="20" customFormat="1" ht="15" customHeight="1">
      <c r="A25" s="126">
        <f t="shared" si="30"/>
        <v>0.3000000000000001</v>
      </c>
      <c r="B25" s="97">
        <f t="shared" si="0"/>
        <v>-9.8766895800401</v>
      </c>
      <c r="C25" s="134">
        <f t="shared" si="1"/>
        <v>0.040361999999999995</v>
      </c>
      <c r="D25" s="149">
        <f t="shared" si="2"/>
        <v>101791.99629934676</v>
      </c>
      <c r="E25" s="149">
        <f t="shared" si="3"/>
        <v>1666.666666666666</v>
      </c>
      <c r="F25" s="107">
        <f t="shared" si="25"/>
        <v>325.590964133774</v>
      </c>
      <c r="G25" s="107">
        <f t="shared" si="4"/>
        <v>351.1809162320192</v>
      </c>
      <c r="H25" s="100">
        <f t="shared" si="5"/>
        <v>3.599335678646379</v>
      </c>
      <c r="I25" s="97">
        <f t="shared" si="6"/>
        <v>0.4627049182126147</v>
      </c>
      <c r="J25" s="97">
        <f t="shared" si="7"/>
        <v>-0.018026193069770692</v>
      </c>
      <c r="K25" s="97">
        <f t="shared" si="8"/>
        <v>0.00018378601748259932</v>
      </c>
      <c r="L25" s="97">
        <f t="shared" si="9"/>
        <v>3.632074221985288E-06</v>
      </c>
      <c r="M25" s="97">
        <f t="shared" si="26"/>
        <v>0.0009567718075489347</v>
      </c>
      <c r="N25" s="97">
        <f t="shared" si="27"/>
        <v>0.10539864333868351</v>
      </c>
      <c r="O25" s="97">
        <f t="shared" si="10"/>
        <v>1.806418194472137E-07</v>
      </c>
      <c r="P25" s="97">
        <f t="shared" si="11"/>
        <v>0</v>
      </c>
      <c r="Q25" s="97">
        <f t="shared" si="12"/>
        <v>0.5</v>
      </c>
      <c r="R25" s="205">
        <f t="shared" si="13"/>
        <v>0.422536284546303</v>
      </c>
      <c r="S25" s="98">
        <f t="shared" si="14"/>
        <v>5.089979337460022</v>
      </c>
      <c r="T25" s="97">
        <f t="shared" si="15"/>
        <v>2.462704918212615</v>
      </c>
      <c r="U25" s="97">
        <f t="shared" si="16"/>
        <v>4.627274419247407</v>
      </c>
      <c r="V25" s="102">
        <f t="shared" si="17"/>
        <v>0.9100206625399778</v>
      </c>
      <c r="W25" s="103">
        <f t="shared" si="18"/>
        <v>-10.38524120275892</v>
      </c>
      <c r="X25" s="27">
        <f t="shared" si="31"/>
        <v>-0.23147577764362914</v>
      </c>
      <c r="Y25" s="18">
        <f t="shared" si="19"/>
        <v>1.7566264497877127</v>
      </c>
      <c r="Z25" s="18">
        <f t="shared" si="20"/>
        <v>1.7566264497877127</v>
      </c>
      <c r="AA25" s="216">
        <f>ERF(AH25)+ERF(AI25)-1</f>
        <v>0.39610726118021966</v>
      </c>
      <c r="AB25" s="101">
        <f t="shared" si="21"/>
        <v>6</v>
      </c>
      <c r="AC25" s="239">
        <f t="shared" si="28"/>
        <v>0.3</v>
      </c>
      <c r="AD25" s="240">
        <f t="shared" si="32"/>
        <v>7.9</v>
      </c>
      <c r="AE25" s="241">
        <f t="shared" si="29"/>
        <v>0.9100206625399778</v>
      </c>
      <c r="AF25" s="216">
        <f t="shared" si="22"/>
        <v>0.7611928865465571</v>
      </c>
      <c r="AG25" s="242">
        <f>IF(ABS(AF25)&lt;10,SIGN(AF25)*ERF(ABS(AF25)),SIGN(AF25))</f>
        <v>0.7182913046364899</v>
      </c>
      <c r="AH25" s="200">
        <f t="shared" si="23"/>
        <v>0.9676180761185048</v>
      </c>
      <c r="AI25" s="200">
        <f t="shared" si="24"/>
        <v>0.5547676969746095</v>
      </c>
    </row>
    <row r="26" spans="1:35" s="26" customFormat="1" ht="15" customHeight="1">
      <c r="A26" s="127">
        <f t="shared" si="30"/>
        <v>0.3100000000000001</v>
      </c>
      <c r="B26" s="49">
        <f t="shared" si="0"/>
        <v>-9.8766895800401</v>
      </c>
      <c r="C26" s="135">
        <f t="shared" si="1"/>
        <v>0.040361999999999995</v>
      </c>
      <c r="D26" s="150">
        <f t="shared" si="2"/>
        <v>98508.38351549687</v>
      </c>
      <c r="E26" s="150">
        <f t="shared" si="3"/>
        <v>1612.903225806451</v>
      </c>
      <c r="F26" s="108">
        <f t="shared" si="25"/>
        <v>334.1148650197741</v>
      </c>
      <c r="G26" s="108">
        <f t="shared" si="4"/>
        <v>359.0979017304081</v>
      </c>
      <c r="H26" s="50">
        <f t="shared" si="5"/>
        <v>3.818536026127839</v>
      </c>
      <c r="I26" s="49">
        <f t="shared" si="6"/>
        <v>0.47812841548636853</v>
      </c>
      <c r="J26" s="49">
        <f t="shared" si="7"/>
        <v>-0.018627066172096383</v>
      </c>
      <c r="K26" s="49">
        <f t="shared" si="8"/>
        <v>0.00019624046444747107</v>
      </c>
      <c r="L26" s="49">
        <f t="shared" si="9"/>
        <v>4.14101647142578E-06</v>
      </c>
      <c r="M26" s="49">
        <f t="shared" si="26"/>
        <v>0.0009356779819121617</v>
      </c>
      <c r="N26" s="49">
        <f t="shared" si="27"/>
        <v>0.10301891981279217</v>
      </c>
      <c r="O26" s="49">
        <f t="shared" si="10"/>
        <v>2.011929169515314E-07</v>
      </c>
      <c r="P26" s="49">
        <f t="shared" si="11"/>
        <v>0</v>
      </c>
      <c r="Q26" s="49">
        <f t="shared" si="12"/>
        <v>0.5</v>
      </c>
      <c r="R26" s="206">
        <f t="shared" si="13"/>
        <v>0.42658942273441225</v>
      </c>
      <c r="S26" s="53">
        <f t="shared" si="14"/>
        <v>5.326277126370799</v>
      </c>
      <c r="T26" s="49">
        <f t="shared" si="15"/>
        <v>2.4781284154863688</v>
      </c>
      <c r="U26" s="49">
        <f t="shared" si="16"/>
        <v>4.848148710884431</v>
      </c>
      <c r="V26" s="54">
        <f t="shared" si="17"/>
        <v>0.6737228736292007</v>
      </c>
      <c r="W26" s="99">
        <f t="shared" si="18"/>
        <v>-10.404717838220781</v>
      </c>
      <c r="X26" s="25">
        <f t="shared" si="31"/>
        <v>-0.24140901962086891</v>
      </c>
      <c r="Y26" s="23">
        <f t="shared" si="19"/>
        <v>1.7566264497877127</v>
      </c>
      <c r="Z26" s="23">
        <f t="shared" si="20"/>
        <v>1.7566264497877127</v>
      </c>
      <c r="AA26" s="214">
        <f>ERF(AH26)+ERF(AI26)-1</f>
        <v>0.37625948360426076</v>
      </c>
      <c r="AB26" s="52">
        <f t="shared" si="21"/>
        <v>6</v>
      </c>
      <c r="AC26" s="236">
        <f t="shared" si="28"/>
        <v>0.3</v>
      </c>
      <c r="AD26" s="237">
        <f t="shared" si="32"/>
        <v>7.9</v>
      </c>
      <c r="AE26" s="210">
        <f t="shared" si="29"/>
        <v>0</v>
      </c>
      <c r="AF26" s="214">
        <f t="shared" si="22"/>
        <v>0.7444109643598045</v>
      </c>
      <c r="AG26" s="238">
        <f>IF(ABS(AF26)&lt;10,SIGN(AF26)*ERF(ABS(AF26)),SIGN(AF26))</f>
        <v>0.7075469720421115</v>
      </c>
      <c r="AH26" s="202">
        <f t="shared" si="23"/>
        <v>0.946285124186192</v>
      </c>
      <c r="AI26" s="202">
        <f t="shared" si="24"/>
        <v>0.5425368045334168</v>
      </c>
    </row>
    <row r="27" spans="1:35" s="26" customFormat="1" ht="15" customHeight="1">
      <c r="A27" s="127">
        <f t="shared" si="30"/>
        <v>0.3200000000000001</v>
      </c>
      <c r="B27" s="49">
        <f t="shared" si="0"/>
        <v>-9.8766895800401</v>
      </c>
      <c r="C27" s="135">
        <f t="shared" si="1"/>
        <v>0.040361999999999995</v>
      </c>
      <c r="D27" s="150">
        <f t="shared" si="2"/>
        <v>95429.99653063758</v>
      </c>
      <c r="E27" s="150">
        <f t="shared" si="3"/>
        <v>1562.4999999999993</v>
      </c>
      <c r="F27" s="108">
        <f t="shared" si="25"/>
        <v>342.69575360948244</v>
      </c>
      <c r="G27" s="108">
        <f t="shared" si="4"/>
        <v>367.09527311308585</v>
      </c>
      <c r="H27" s="50">
        <f t="shared" si="5"/>
        <v>4.047114713155536</v>
      </c>
      <c r="I27" s="49">
        <f t="shared" si="6"/>
        <v>0.4935519127601224</v>
      </c>
      <c r="J27" s="49">
        <f t="shared" si="7"/>
        <v>-0.019227939274422075</v>
      </c>
      <c r="K27" s="49">
        <f t="shared" si="8"/>
        <v>0.00020910296600540115</v>
      </c>
      <c r="L27" s="49">
        <f t="shared" si="9"/>
        <v>4.70164975934573E-06</v>
      </c>
      <c r="M27" s="49">
        <f t="shared" si="26"/>
        <v>0.0009152937251155866</v>
      </c>
      <c r="N27" s="49">
        <f t="shared" si="27"/>
        <v>0.10072172226775897</v>
      </c>
      <c r="O27" s="49">
        <f t="shared" si="10"/>
        <v>2.2321876354258752E-07</v>
      </c>
      <c r="P27" s="49">
        <f t="shared" si="11"/>
        <v>0</v>
      </c>
      <c r="Q27" s="49">
        <f t="shared" si="12"/>
        <v>0.5</v>
      </c>
      <c r="R27" s="206">
        <f t="shared" si="13"/>
        <v>0.43140410364981996</v>
      </c>
      <c r="S27" s="53">
        <f t="shared" si="14"/>
        <v>5.57279737670176</v>
      </c>
      <c r="T27" s="49">
        <f t="shared" si="15"/>
        <v>2.4935519127601222</v>
      </c>
      <c r="U27" s="49">
        <f t="shared" si="16"/>
        <v>5.079245463941637</v>
      </c>
      <c r="V27" s="54">
        <f t="shared" si="17"/>
        <v>0.42720262329824</v>
      </c>
      <c r="W27" s="99">
        <f t="shared" si="18"/>
        <v>-10.424956016409942</v>
      </c>
      <c r="X27" s="25">
        <f t="shared" si="31"/>
        <v>-0.25197696546909354</v>
      </c>
      <c r="Y27" s="23">
        <f t="shared" si="19"/>
        <v>1.7566264497877127</v>
      </c>
      <c r="Z27" s="23">
        <f t="shared" si="20"/>
        <v>1.7566264497877127</v>
      </c>
      <c r="AA27" s="214">
        <f>ERF(AH27)+ERF(AI27)-1</f>
        <v>0.3565727236131102</v>
      </c>
      <c r="AB27" s="52">
        <f t="shared" si="21"/>
        <v>6</v>
      </c>
      <c r="AC27" s="236">
        <f t="shared" si="28"/>
        <v>0.3</v>
      </c>
      <c r="AD27" s="237">
        <f t="shared" si="32"/>
        <v>7.9</v>
      </c>
      <c r="AE27" s="210">
        <f t="shared" si="29"/>
        <v>0</v>
      </c>
      <c r="AF27" s="214">
        <f t="shared" si="22"/>
        <v>0.7281935641932578</v>
      </c>
      <c r="AG27" s="238">
        <f>IF(ABS(AF27)&lt;10,SIGN(AF27)*ERF(ABS(AF27)),SIGN(AF27))</f>
        <v>0.6969058109911097</v>
      </c>
      <c r="AH27" s="202">
        <f t="shared" si="23"/>
        <v>0.9256697849914293</v>
      </c>
      <c r="AI27" s="202">
        <f t="shared" si="24"/>
        <v>0.5307173433950862</v>
      </c>
    </row>
    <row r="28" spans="1:35" s="26" customFormat="1" ht="15" customHeight="1">
      <c r="A28" s="127">
        <f t="shared" si="30"/>
        <v>0.3300000000000001</v>
      </c>
      <c r="B28" s="49">
        <f t="shared" si="0"/>
        <v>-9.8766895800401</v>
      </c>
      <c r="C28" s="135">
        <f t="shared" si="1"/>
        <v>0.040361999999999995</v>
      </c>
      <c r="D28" s="150">
        <f t="shared" si="2"/>
        <v>92538.1784539516</v>
      </c>
      <c r="E28" s="150">
        <f t="shared" si="3"/>
        <v>1515.1515151515146</v>
      </c>
      <c r="F28" s="108">
        <f t="shared" si="25"/>
        <v>351.3294543159287</v>
      </c>
      <c r="G28" s="108">
        <f t="shared" si="4"/>
        <v>375.167889710631</v>
      </c>
      <c r="H28" s="50">
        <f t="shared" si="5"/>
        <v>4.2856354229208735</v>
      </c>
      <c r="I28" s="49">
        <f t="shared" si="6"/>
        <v>0.5089754100338763</v>
      </c>
      <c r="J28" s="49">
        <f t="shared" si="7"/>
        <v>-0.019828812376747763</v>
      </c>
      <c r="K28" s="49">
        <f t="shared" si="8"/>
        <v>0.00022237349429918114</v>
      </c>
      <c r="L28" s="49">
        <f t="shared" si="9"/>
        <v>5.317359095930229E-06</v>
      </c>
      <c r="M28" s="49">
        <f t="shared" si="26"/>
        <v>0.0008955990350324453</v>
      </c>
      <c r="N28" s="49">
        <f t="shared" si="27"/>
        <v>0.09850454112479423</v>
      </c>
      <c r="O28" s="49">
        <f t="shared" si="10"/>
        <v>2.467664839411743E-07</v>
      </c>
      <c r="P28" s="49">
        <f t="shared" si="11"/>
        <v>0</v>
      </c>
      <c r="Q28" s="49">
        <f t="shared" si="12"/>
        <v>0.5</v>
      </c>
      <c r="R28" s="206">
        <f t="shared" si="13"/>
        <v>0.43711011910386244</v>
      </c>
      <c r="S28" s="53">
        <f t="shared" si="14"/>
        <v>5.830231057308986</v>
      </c>
      <c r="T28" s="49">
        <f t="shared" si="15"/>
        <v>2.508975410033876</v>
      </c>
      <c r="U28" s="49">
        <f t="shared" si="16"/>
        <v>5.32125564727511</v>
      </c>
      <c r="V28" s="54">
        <f t="shared" si="17"/>
        <v>0.1697689426910136</v>
      </c>
      <c r="W28" s="99">
        <f t="shared" si="18"/>
        <v>-10.44608552913774</v>
      </c>
      <c r="X28" s="25">
        <f t="shared" si="31"/>
        <v>-0.26330194955488384</v>
      </c>
      <c r="Y28" s="23">
        <f t="shared" si="19"/>
        <v>1.7566264497877127</v>
      </c>
      <c r="Z28" s="23">
        <f t="shared" si="20"/>
        <v>1.7566264497877127</v>
      </c>
      <c r="AA28" s="214">
        <f>ERF(AH28)+ERF(AI28)-1</f>
        <v>0.3370741482647892</v>
      </c>
      <c r="AB28" s="52">
        <f t="shared" si="21"/>
        <v>6</v>
      </c>
      <c r="AC28" s="236">
        <f t="shared" si="28"/>
        <v>0.3</v>
      </c>
      <c r="AD28" s="237">
        <f t="shared" si="32"/>
        <v>7.9</v>
      </c>
      <c r="AE28" s="210">
        <f t="shared" si="29"/>
        <v>0</v>
      </c>
      <c r="AF28" s="214">
        <f t="shared" si="22"/>
        <v>0.7125247726635079</v>
      </c>
      <c r="AG28" s="238">
        <f>IF(ABS(AF28)&lt;10,SIGN(AF28)*ERF(ABS(AF28)),SIGN(AF28))</f>
        <v>0.68638307048337</v>
      </c>
      <c r="AH28" s="202">
        <f t="shared" si="23"/>
        <v>0.9057518296570015</v>
      </c>
      <c r="AI28" s="202">
        <f t="shared" si="24"/>
        <v>0.5192977156700143</v>
      </c>
    </row>
    <row r="29" spans="1:35" s="26" customFormat="1" ht="15" customHeight="1">
      <c r="A29" s="127">
        <f t="shared" si="30"/>
        <v>0.34000000000000014</v>
      </c>
      <c r="B29" s="49">
        <f t="shared" si="0"/>
        <v>-9.8766895800401</v>
      </c>
      <c r="C29" s="135">
        <f t="shared" si="1"/>
        <v>0.040361999999999995</v>
      </c>
      <c r="D29" s="150">
        <f t="shared" si="2"/>
        <v>89816.46732295302</v>
      </c>
      <c r="E29" s="150">
        <f t="shared" si="3"/>
        <v>1470.588235294117</v>
      </c>
      <c r="F29" s="108">
        <f t="shared" si="25"/>
        <v>360.0121675875042</v>
      </c>
      <c r="G29" s="108">
        <f t="shared" si="4"/>
        <v>383.3109975086199</v>
      </c>
      <c r="H29" s="50">
        <f t="shared" si="5"/>
        <v>4.534767428124233</v>
      </c>
      <c r="I29" s="49">
        <f t="shared" si="6"/>
        <v>0.5243989073076301</v>
      </c>
      <c r="J29" s="49">
        <f t="shared" si="7"/>
        <v>-0.020429685479073457</v>
      </c>
      <c r="K29" s="49">
        <f t="shared" si="8"/>
        <v>0.00023605202058820575</v>
      </c>
      <c r="L29" s="49">
        <f t="shared" si="9"/>
        <v>5.991636550777538E-06</v>
      </c>
      <c r="M29" s="49">
        <f t="shared" si="26"/>
        <v>0.0008765728147219257</v>
      </c>
      <c r="N29" s="49">
        <f t="shared" si="27"/>
        <v>0.09636476246596903</v>
      </c>
      <c r="O29" s="49">
        <f t="shared" si="10"/>
        <v>2.7188305529168844E-07</v>
      </c>
      <c r="P29" s="49">
        <f t="shared" si="11"/>
        <v>0</v>
      </c>
      <c r="Q29" s="49">
        <f t="shared" si="12"/>
        <v>0.5</v>
      </c>
      <c r="R29" s="206">
        <f t="shared" si="13"/>
        <v>0.4438639143940897</v>
      </c>
      <c r="S29" s="53">
        <f t="shared" si="14"/>
        <v>6.099401275811528</v>
      </c>
      <c r="T29" s="49">
        <f t="shared" si="15"/>
        <v>2.52439890730763</v>
      </c>
      <c r="U29" s="49">
        <f t="shared" si="16"/>
        <v>5.575002368503897</v>
      </c>
      <c r="V29" s="54">
        <f t="shared" si="17"/>
        <v>-0.09940127581152769</v>
      </c>
      <c r="W29" s="99">
        <f t="shared" si="18"/>
        <v>-10.46826282170172</v>
      </c>
      <c r="X29" s="25">
        <f t="shared" si="31"/>
        <v>-0.2755284249254313</v>
      </c>
      <c r="Y29" s="23">
        <f t="shared" si="19"/>
        <v>1.7566264497877127</v>
      </c>
      <c r="Z29" s="23">
        <f t="shared" si="20"/>
        <v>1.7566264497877127</v>
      </c>
      <c r="AA29" s="214">
        <f>ERF(AH29)+ERF(AI29)-1</f>
        <v>0.31778754045031565</v>
      </c>
      <c r="AB29" s="52">
        <f t="shared" si="21"/>
        <v>6</v>
      </c>
      <c r="AC29" s="236">
        <f t="shared" si="28"/>
        <v>0.3</v>
      </c>
      <c r="AD29" s="237">
        <f t="shared" si="32"/>
        <v>7.9</v>
      </c>
      <c r="AE29" s="210">
        <f t="shared" si="29"/>
        <v>0</v>
      </c>
      <c r="AF29" s="214">
        <f t="shared" si="22"/>
        <v>0.6973878053699828</v>
      </c>
      <c r="AG29" s="238">
        <f>IF(ABS(AF29)&lt;10,SIGN(AF29)*ERF(ABS(AF29)),SIGN(AF29))</f>
        <v>0.6759921356798885</v>
      </c>
      <c r="AH29" s="202">
        <f t="shared" si="23"/>
        <v>0.8865099220804866</v>
      </c>
      <c r="AI29" s="202">
        <f t="shared" si="24"/>
        <v>0.5082656886594791</v>
      </c>
    </row>
    <row r="30" spans="1:35" s="20" customFormat="1" ht="15" customHeight="1">
      <c r="A30" s="126">
        <f t="shared" si="30"/>
        <v>0.35000000000000014</v>
      </c>
      <c r="B30" s="97">
        <f t="shared" si="0"/>
        <v>-9.8766895800401</v>
      </c>
      <c r="C30" s="134">
        <f t="shared" si="1"/>
        <v>0.040361999999999995</v>
      </c>
      <c r="D30" s="149">
        <f t="shared" si="2"/>
        <v>87250.28254229722</v>
      </c>
      <c r="E30" s="149">
        <f t="shared" si="3"/>
        <v>1428.571428571428</v>
      </c>
      <c r="F30" s="107">
        <f t="shared" si="25"/>
        <v>368.7404311508927</v>
      </c>
      <c r="G30" s="107">
        <f t="shared" si="4"/>
        <v>391.52019815757427</v>
      </c>
      <c r="H30" s="100">
        <f t="shared" si="5"/>
        <v>4.795332542174908</v>
      </c>
      <c r="I30" s="97">
        <f t="shared" si="6"/>
        <v>0.5398224045813839</v>
      </c>
      <c r="J30" s="97">
        <f t="shared" si="7"/>
        <v>-0.021030558581399145</v>
      </c>
      <c r="K30" s="97">
        <f t="shared" si="8"/>
        <v>0.0002501385152488497</v>
      </c>
      <c r="L30" s="97">
        <f t="shared" si="9"/>
        <v>6.728081224400422E-06</v>
      </c>
      <c r="M30" s="97">
        <f t="shared" si="26"/>
        <v>0.00085819327222748</v>
      </c>
      <c r="N30" s="97">
        <f t="shared" si="27"/>
        <v>0.09429971258940284</v>
      </c>
      <c r="O30" s="97">
        <f t="shared" si="10"/>
        <v>2.9861531600228197E-07</v>
      </c>
      <c r="P30" s="97">
        <f t="shared" si="11"/>
        <v>0</v>
      </c>
      <c r="Q30" s="97">
        <f t="shared" si="12"/>
        <v>0.5</v>
      </c>
      <c r="R30" s="205">
        <f t="shared" si="13"/>
        <v>0.4518262211176145</v>
      </c>
      <c r="S30" s="98">
        <f t="shared" si="14"/>
        <v>6.381287907159849</v>
      </c>
      <c r="T30" s="97">
        <f t="shared" si="15"/>
        <v>2.539822404581384</v>
      </c>
      <c r="U30" s="97">
        <f t="shared" si="16"/>
        <v>5.841465502578465</v>
      </c>
      <c r="V30" s="102">
        <f t="shared" si="17"/>
        <v>-0.38128790715984895</v>
      </c>
      <c r="W30" s="103">
        <f t="shared" si="18"/>
        <v>-10.491648625699</v>
      </c>
      <c r="X30" s="27">
        <f t="shared" si="31"/>
        <v>-0.28883160920976625</v>
      </c>
      <c r="Y30" s="18">
        <f t="shared" si="19"/>
        <v>1.7566264497877127</v>
      </c>
      <c r="Z30" s="18">
        <f t="shared" si="20"/>
        <v>1.7566264497877127</v>
      </c>
      <c r="AA30" s="216">
        <f>ERF(AH30)+ERF(AI30)-1</f>
        <v>0.2987336351751875</v>
      </c>
      <c r="AB30" s="101">
        <f t="shared" si="21"/>
        <v>6</v>
      </c>
      <c r="AC30" s="239">
        <f t="shared" si="28"/>
        <v>0.3</v>
      </c>
      <c r="AD30" s="240">
        <f t="shared" si="32"/>
        <v>7.9</v>
      </c>
      <c r="AE30" s="241">
        <f t="shared" si="29"/>
        <v>0</v>
      </c>
      <c r="AF30" s="216">
        <f t="shared" si="22"/>
        <v>0.6827653249683153</v>
      </c>
      <c r="AG30" s="242">
        <f>IF(ABS(AF30)&lt;10,SIGN(AF30)*ERF(ABS(AF30)),SIGN(AF30))</f>
        <v>0.6657435933227875</v>
      </c>
      <c r="AH30" s="200">
        <f t="shared" si="23"/>
        <v>0.8679220232648075</v>
      </c>
      <c r="AI30" s="200">
        <f t="shared" si="24"/>
        <v>0.49760862667182304</v>
      </c>
    </row>
    <row r="31" spans="1:35" s="26" customFormat="1" ht="15" customHeight="1">
      <c r="A31" s="127">
        <f t="shared" si="30"/>
        <v>0.36000000000000015</v>
      </c>
      <c r="B31" s="49">
        <f t="shared" si="0"/>
        <v>-9.8766895800401</v>
      </c>
      <c r="C31" s="135">
        <f t="shared" si="1"/>
        <v>0.040361999999999995</v>
      </c>
      <c r="D31" s="150">
        <f t="shared" si="2"/>
        <v>84826.66358278895</v>
      </c>
      <c r="E31" s="150">
        <f t="shared" si="3"/>
        <v>1388.8888888888882</v>
      </c>
      <c r="F31" s="108">
        <f t="shared" si="25"/>
        <v>377.51108557604914</v>
      </c>
      <c r="G31" s="108">
        <f t="shared" si="4"/>
        <v>399.7914202841365</v>
      </c>
      <c r="H31" s="50">
        <f t="shared" si="5"/>
        <v>5.06829225118101</v>
      </c>
      <c r="I31" s="49">
        <f t="shared" si="6"/>
        <v>0.5552459018551377</v>
      </c>
      <c r="J31" s="49">
        <f t="shared" si="7"/>
        <v>-0.021631431683724833</v>
      </c>
      <c r="K31" s="49">
        <f t="shared" si="8"/>
        <v>0.00026463294777446785</v>
      </c>
      <c r="L31" s="49">
        <f t="shared" si="9"/>
        <v>7.5303992023190165E-06</v>
      </c>
      <c r="M31" s="49">
        <f t="shared" si="26"/>
        <v>0.0008404382459263404</v>
      </c>
      <c r="N31" s="49">
        <f t="shared" si="27"/>
        <v>0.09230669393769339</v>
      </c>
      <c r="O31" s="49">
        <f t="shared" si="10"/>
        <v>3.270100001895315E-07</v>
      </c>
      <c r="P31" s="49">
        <f t="shared" si="11"/>
        <v>0</v>
      </c>
      <c r="Q31" s="49">
        <f t="shared" si="12"/>
        <v>0.5</v>
      </c>
      <c r="R31" s="206">
        <f t="shared" si="13"/>
        <v>0.4612117898480168</v>
      </c>
      <c r="S31" s="53">
        <f t="shared" si="14"/>
        <v>6.67706449423106</v>
      </c>
      <c r="T31" s="49">
        <f t="shared" si="15"/>
        <v>2.5552459018551374</v>
      </c>
      <c r="U31" s="49">
        <f t="shared" si="16"/>
        <v>6.121818592375923</v>
      </c>
      <c r="V31" s="54">
        <f t="shared" si="17"/>
        <v>-0.6770644942310602</v>
      </c>
      <c r="W31" s="99">
        <f t="shared" si="18"/>
        <v>-10.516457691703154</v>
      </c>
      <c r="X31" s="25">
        <f t="shared" si="31"/>
        <v>-0.30342583358299624</v>
      </c>
      <c r="Y31" s="23">
        <f t="shared" si="19"/>
        <v>1.7566264497877127</v>
      </c>
      <c r="Z31" s="23">
        <f t="shared" si="20"/>
        <v>1.7566264497877127</v>
      </c>
      <c r="AA31" s="214">
        <f>ERF(AH31)+ERF(AI31)-1</f>
        <v>0.27993009781195943</v>
      </c>
      <c r="AB31" s="52">
        <f t="shared" si="21"/>
        <v>6</v>
      </c>
      <c r="AC31" s="236">
        <f t="shared" si="28"/>
        <v>0.3</v>
      </c>
      <c r="AD31" s="237">
        <f t="shared" si="32"/>
        <v>7.9</v>
      </c>
      <c r="AE31" s="210">
        <f t="shared" si="29"/>
        <v>0</v>
      </c>
      <c r="AF31" s="214">
        <f t="shared" si="22"/>
        <v>0.6686397000133981</v>
      </c>
      <c r="AG31" s="238">
        <f>IF(ABS(AF31)&lt;10,SIGN(AF31)*ERF(ABS(AF31)),SIGN(AF31))</f>
        <v>0.6556470089157507</v>
      </c>
      <c r="AH31" s="202">
        <f t="shared" si="23"/>
        <v>0.8499657203560145</v>
      </c>
      <c r="AI31" s="202">
        <f t="shared" si="24"/>
        <v>0.4873136796707817</v>
      </c>
    </row>
    <row r="32" spans="1:35" s="26" customFormat="1" ht="15" customHeight="1">
      <c r="A32" s="127">
        <f t="shared" si="30"/>
        <v>0.37000000000000016</v>
      </c>
      <c r="B32" s="49">
        <f t="shared" si="0"/>
        <v>-9.8766895800401</v>
      </c>
      <c r="C32" s="135">
        <f t="shared" si="1"/>
        <v>0.040361999999999995</v>
      </c>
      <c r="D32" s="150">
        <f t="shared" si="2"/>
        <v>82534.05105352438</v>
      </c>
      <c r="E32" s="150">
        <f t="shared" si="3"/>
        <v>1351.3513513513508</v>
      </c>
      <c r="F32" s="108">
        <f t="shared" si="25"/>
        <v>386.321243673495</v>
      </c>
      <c r="G32" s="108">
        <f t="shared" si="4"/>
        <v>408.12089301264143</v>
      </c>
      <c r="H32" s="50">
        <f t="shared" si="5"/>
        <v>5.354805018092838</v>
      </c>
      <c r="I32" s="49">
        <f t="shared" si="6"/>
        <v>0.5706693991288916</v>
      </c>
      <c r="J32" s="49">
        <f t="shared" si="7"/>
        <v>-0.02223230478605052</v>
      </c>
      <c r="K32" s="49">
        <f t="shared" si="8"/>
        <v>0.00027953528677539485</v>
      </c>
      <c r="L32" s="49">
        <f t="shared" si="9"/>
        <v>8.402403521636273E-06</v>
      </c>
      <c r="M32" s="49">
        <f t="shared" si="26"/>
        <v>0.0008232854670088955</v>
      </c>
      <c r="N32" s="49">
        <f t="shared" si="27"/>
        <v>0.09038301378479713</v>
      </c>
      <c r="O32" s="49">
        <f t="shared" si="10"/>
        <v>3.5711374325730905E-07</v>
      </c>
      <c r="P32" s="49">
        <f t="shared" si="11"/>
        <v>0</v>
      </c>
      <c r="Q32" s="49">
        <f t="shared" si="12"/>
        <v>0.5</v>
      </c>
      <c r="R32" s="206">
        <f t="shared" si="13"/>
        <v>0.4722733838020501</v>
      </c>
      <c r="S32" s="53">
        <f t="shared" si="14"/>
        <v>6.988139574325841</v>
      </c>
      <c r="T32" s="49">
        <f t="shared" si="15"/>
        <v>2.5706693991288914</v>
      </c>
      <c r="U32" s="49">
        <f t="shared" si="16"/>
        <v>6.41747017519695</v>
      </c>
      <c r="V32" s="54">
        <f t="shared" si="17"/>
        <v>-0.9881395743258414</v>
      </c>
      <c r="W32" s="99">
        <f t="shared" si="18"/>
        <v>-10.542942782930943</v>
      </c>
      <c r="X32" s="25">
        <f t="shared" si="31"/>
        <v>-0.31957540836704235</v>
      </c>
      <c r="Y32" s="23">
        <f t="shared" si="19"/>
        <v>1.7566264497877127</v>
      </c>
      <c r="Z32" s="23">
        <f t="shared" si="20"/>
        <v>1.7566264497877127</v>
      </c>
      <c r="AA32" s="214">
        <f>ERF(AH32)+ERF(AI32)-1</f>
        <v>0.26139192061706806</v>
      </c>
      <c r="AB32" s="52">
        <f t="shared" si="21"/>
        <v>6</v>
      </c>
      <c r="AC32" s="236">
        <f t="shared" si="28"/>
        <v>0.3</v>
      </c>
      <c r="AD32" s="237">
        <f t="shared" si="32"/>
        <v>7.9</v>
      </c>
      <c r="AE32" s="210">
        <f t="shared" si="29"/>
        <v>0</v>
      </c>
      <c r="AF32" s="214">
        <f t="shared" si="22"/>
        <v>0.6549932137839249</v>
      </c>
      <c r="AG32" s="238">
        <f>IF(ABS(AF32)&lt;10,SIGN(AF32)*ERF(ABS(AF32)),SIGN(AF32))</f>
        <v>0.6457100484254735</v>
      </c>
      <c r="AH32" s="202">
        <f t="shared" si="23"/>
        <v>0.8326184920982096</v>
      </c>
      <c r="AI32" s="202">
        <f t="shared" si="24"/>
        <v>0.47736793546964024</v>
      </c>
    </row>
    <row r="33" spans="1:35" s="26" customFormat="1" ht="15" customHeight="1">
      <c r="A33" s="127">
        <f t="shared" si="30"/>
        <v>0.38000000000000017</v>
      </c>
      <c r="B33" s="49">
        <f t="shared" si="0"/>
        <v>-9.8766895800401</v>
      </c>
      <c r="C33" s="135">
        <f t="shared" si="1"/>
        <v>0.040361999999999995</v>
      </c>
      <c r="D33" s="150">
        <f t="shared" si="2"/>
        <v>80362.10234158953</v>
      </c>
      <c r="E33" s="150">
        <f t="shared" si="3"/>
        <v>1315.78947368421</v>
      </c>
      <c r="F33" s="108">
        <f t="shared" si="25"/>
        <v>395.16826328443005</v>
      </c>
      <c r="G33" s="108">
        <f t="shared" si="4"/>
        <v>416.5051215858367</v>
      </c>
      <c r="H33" s="50">
        <f t="shared" si="5"/>
        <v>5.656262783668659</v>
      </c>
      <c r="I33" s="49">
        <f t="shared" si="6"/>
        <v>0.5860928964026454</v>
      </c>
      <c r="J33" s="49">
        <f t="shared" si="7"/>
        <v>-0.022833177888376216</v>
      </c>
      <c r="K33" s="49">
        <f t="shared" si="8"/>
        <v>0.00029484549997925945</v>
      </c>
      <c r="L33" s="49">
        <f t="shared" si="9"/>
        <v>9.348014129841932E-06</v>
      </c>
      <c r="M33" s="49">
        <f t="shared" si="26"/>
        <v>0.0008067127691507976</v>
      </c>
      <c r="N33" s="49">
        <f t="shared" si="27"/>
        <v>0.08852600687724381</v>
      </c>
      <c r="O33" s="49">
        <f t="shared" si="10"/>
        <v>3.8897309997953933E-07</v>
      </c>
      <c r="P33" s="49">
        <f t="shared" si="11"/>
        <v>0</v>
      </c>
      <c r="Q33" s="49">
        <f t="shared" si="12"/>
        <v>0.5</v>
      </c>
      <c r="R33" s="206">
        <f t="shared" si="13"/>
        <v>0.48532388702936746</v>
      </c>
      <c r="S33" s="53">
        <f t="shared" si="14"/>
        <v>7.316215310965145</v>
      </c>
      <c r="T33" s="49">
        <f t="shared" si="15"/>
        <v>2.5860928964026453</v>
      </c>
      <c r="U33" s="49">
        <f t="shared" si="16"/>
        <v>6.7301224145625</v>
      </c>
      <c r="V33" s="54">
        <f t="shared" si="17"/>
        <v>-1.3162153109651449</v>
      </c>
      <c r="W33" s="99">
        <f t="shared" si="18"/>
        <v>-10.571416783432014</v>
      </c>
      <c r="X33" s="25">
        <f t="shared" si="31"/>
        <v>-0.3376104810548304</v>
      </c>
      <c r="Y33" s="23">
        <f t="shared" si="19"/>
        <v>1.7566264497877127</v>
      </c>
      <c r="Z33" s="23">
        <f t="shared" si="20"/>
        <v>1.7566264497877127</v>
      </c>
      <c r="AA33" s="214">
        <f>ERF(AH33)+ERF(AI33)-1</f>
        <v>0.24313155791886</v>
      </c>
      <c r="AB33" s="52">
        <f t="shared" si="21"/>
        <v>6</v>
      </c>
      <c r="AC33" s="236">
        <f t="shared" si="28"/>
        <v>0.3</v>
      </c>
      <c r="AD33" s="237">
        <f t="shared" si="32"/>
        <v>7.9</v>
      </c>
      <c r="AE33" s="210">
        <f t="shared" si="29"/>
        <v>0</v>
      </c>
      <c r="AF33" s="214">
        <f t="shared" si="22"/>
        <v>0.6418082310942836</v>
      </c>
      <c r="AG33" s="238">
        <f>IF(ABS(AF33)&lt;10,SIGN(AF33)*ERF(ABS(AF33)),SIGN(AF33))</f>
        <v>0.6359388920568729</v>
      </c>
      <c r="AH33" s="202">
        <f t="shared" si="23"/>
        <v>0.8158579208825639</v>
      </c>
      <c r="AI33" s="202">
        <f t="shared" si="24"/>
        <v>0.46775854130600336</v>
      </c>
    </row>
    <row r="34" spans="1:35" s="26" customFormat="1" ht="15" customHeight="1">
      <c r="A34" s="127">
        <f t="shared" si="30"/>
        <v>0.3900000000000002</v>
      </c>
      <c r="B34" s="49">
        <f t="shared" si="0"/>
        <v>-9.8766895800401</v>
      </c>
      <c r="C34" s="135">
        <f t="shared" si="1"/>
        <v>0.040361999999999995</v>
      </c>
      <c r="D34" s="150">
        <f t="shared" si="2"/>
        <v>78301.53561488212</v>
      </c>
      <c r="E34" s="150">
        <f t="shared" si="3"/>
        <v>1282.0512820512815</v>
      </c>
      <c r="F34" s="108">
        <f t="shared" si="25"/>
        <v>404.0497230715512</v>
      </c>
      <c r="G34" s="108">
        <f t="shared" si="4"/>
        <v>424.94086496146406</v>
      </c>
      <c r="H34" s="50">
        <f t="shared" si="5"/>
        <v>5.974346779041561</v>
      </c>
      <c r="I34" s="49">
        <f t="shared" si="6"/>
        <v>0.6015163936763992</v>
      </c>
      <c r="J34" s="49">
        <f t="shared" si="7"/>
        <v>-0.023434050990701904</v>
      </c>
      <c r="K34" s="49">
        <f t="shared" si="8"/>
        <v>0.0003105635542308588</v>
      </c>
      <c r="L34" s="49">
        <f t="shared" si="9"/>
        <v>1.0371257841627707E-05</v>
      </c>
      <c r="M34" s="49">
        <f t="shared" si="26"/>
        <v>0.0007906982540511143</v>
      </c>
      <c r="N34" s="49">
        <f t="shared" si="27"/>
        <v>0.08673305305403313</v>
      </c>
      <c r="O34" s="49">
        <f t="shared" si="10"/>
        <v>4.226345554358968E-07</v>
      </c>
      <c r="P34" s="49">
        <f t="shared" si="11"/>
        <v>0</v>
      </c>
      <c r="Q34" s="49">
        <f t="shared" si="12"/>
        <v>0.5</v>
      </c>
      <c r="R34" s="206">
        <f t="shared" si="13"/>
        <v>0.5007535167711117</v>
      </c>
      <c r="S34" s="53">
        <f t="shared" si="14"/>
        <v>7.663360536435502</v>
      </c>
      <c r="T34" s="49">
        <f t="shared" si="15"/>
        <v>2.601516393676399</v>
      </c>
      <c r="U34" s="49">
        <f t="shared" si="16"/>
        <v>7.061844142759103</v>
      </c>
      <c r="V34" s="54">
        <f t="shared" si="17"/>
        <v>-1.6633605364355022</v>
      </c>
      <c r="W34" s="99">
        <f t="shared" si="18"/>
        <v>-10.60226991044751</v>
      </c>
      <c r="X34" s="25">
        <f t="shared" si="31"/>
        <v>-0.3579522717845265</v>
      </c>
      <c r="Y34" s="23">
        <f t="shared" si="19"/>
        <v>1.7566264497877127</v>
      </c>
      <c r="Z34" s="23">
        <f t="shared" si="20"/>
        <v>1.7566264497877127</v>
      </c>
      <c r="AA34" s="214">
        <f>ERF(AH34)+ERF(AI34)-1</f>
        <v>0.22515934179261454</v>
      </c>
      <c r="AB34" s="52">
        <f t="shared" si="21"/>
        <v>6</v>
      </c>
      <c r="AC34" s="236">
        <f t="shared" si="28"/>
        <v>0.3</v>
      </c>
      <c r="AD34" s="237">
        <f t="shared" si="32"/>
        <v>7.9</v>
      </c>
      <c r="AE34" s="210">
        <f t="shared" si="29"/>
        <v>0</v>
      </c>
      <c r="AF34" s="214">
        <f t="shared" si="22"/>
        <v>0.629067329994156</v>
      </c>
      <c r="AG34" s="238">
        <f>IF(ABS(AF34)&lt;10,SIGN(AF34)*ERF(ABS(AF34)),SIGN(AF34))</f>
        <v>0.6263383865944068</v>
      </c>
      <c r="AH34" s="202">
        <f t="shared" si="23"/>
        <v>0.7996618601620626</v>
      </c>
      <c r="AI34" s="202">
        <f t="shared" si="24"/>
        <v>0.45847279982624933</v>
      </c>
    </row>
    <row r="35" spans="1:35" s="79" customFormat="1" ht="15" customHeight="1">
      <c r="A35" s="128">
        <f t="shared" si="30"/>
        <v>0.4000000000000002</v>
      </c>
      <c r="B35" s="74">
        <f t="shared" si="0"/>
        <v>-9.8766895800401</v>
      </c>
      <c r="C35" s="136">
        <f t="shared" si="1"/>
        <v>0.040361999999999995</v>
      </c>
      <c r="D35" s="151">
        <f t="shared" si="2"/>
        <v>76343.99722451007</v>
      </c>
      <c r="E35" s="151">
        <f t="shared" si="3"/>
        <v>1249.9999999999993</v>
      </c>
      <c r="F35" s="109">
        <f t="shared" si="25"/>
        <v>412.96340096227635</v>
      </c>
      <c r="G35" s="109">
        <f t="shared" si="4"/>
        <v>433.4251152555997</v>
      </c>
      <c r="H35" s="75">
        <f t="shared" si="5"/>
        <v>6.3111021299588135</v>
      </c>
      <c r="I35" s="74">
        <f t="shared" si="6"/>
        <v>0.616939890950153</v>
      </c>
      <c r="J35" s="74">
        <f t="shared" si="7"/>
        <v>-0.024034924093027595</v>
      </c>
      <c r="K35" s="74">
        <f t="shared" si="8"/>
        <v>0.00032668941549253547</v>
      </c>
      <c r="L35" s="74">
        <f t="shared" si="9"/>
        <v>1.1476268303353606E-05</v>
      </c>
      <c r="M35" s="74">
        <f t="shared" si="26"/>
        <v>0.000775220420260727</v>
      </c>
      <c r="N35" s="74">
        <f t="shared" si="27"/>
        <v>0.08500159071679744</v>
      </c>
      <c r="O35" s="74">
        <f t="shared" si="10"/>
        <v>4.5814453551729084E-07</v>
      </c>
      <c r="P35" s="74">
        <f t="shared" si="11"/>
        <v>0</v>
      </c>
      <c r="Q35" s="74">
        <f t="shared" si="12"/>
        <v>0.5</v>
      </c>
      <c r="R35" s="204">
        <f t="shared" si="13"/>
        <v>0.5190643084955937</v>
      </c>
      <c r="S35" s="77">
        <f t="shared" si="14"/>
        <v>8.032119854534198</v>
      </c>
      <c r="T35" s="74">
        <f t="shared" si="15"/>
        <v>2.616939890950153</v>
      </c>
      <c r="U35" s="74">
        <f t="shared" si="16"/>
        <v>7.415179963584045</v>
      </c>
      <c r="V35" s="102">
        <f t="shared" si="17"/>
        <v>-2.032119854534198</v>
      </c>
      <c r="W35" s="104">
        <f t="shared" si="18"/>
        <v>-10.636004199445747</v>
      </c>
      <c r="X35" s="78"/>
      <c r="Y35" s="74">
        <f t="shared" si="19"/>
        <v>1.7566264497877127</v>
      </c>
      <c r="Z35" s="74">
        <f t="shared" si="20"/>
        <v>1.7566264497877127</v>
      </c>
      <c r="AA35" s="163">
        <f>ERF(AH35)+ERF(AI35)-1</f>
        <v>0.20748340002618848</v>
      </c>
      <c r="AB35" s="76">
        <f t="shared" si="21"/>
        <v>6</v>
      </c>
      <c r="AC35" s="195">
        <f t="shared" si="28"/>
        <v>0.3</v>
      </c>
      <c r="AD35" s="196">
        <f>ROUNDUP(E9,0)-0.1</f>
        <v>7.9</v>
      </c>
      <c r="AE35" s="209">
        <f t="shared" si="29"/>
        <v>0</v>
      </c>
      <c r="AF35" s="163">
        <f t="shared" si="22"/>
        <v>0.6167534042624028</v>
      </c>
      <c r="AG35" s="188">
        <f>IF(ABS(AF35)&lt;10,SIGN(AF35)*ERF(ABS(AF35)),SIGN(AF35))</f>
        <v>0.6169121888004897</v>
      </c>
      <c r="AH35" s="199">
        <f t="shared" si="23"/>
        <v>0.7840085647403424</v>
      </c>
      <c r="AI35" s="199">
        <f t="shared" si="24"/>
        <v>0.44949824378446307</v>
      </c>
    </row>
    <row r="36" spans="1:31" ht="15" customHeight="1">
      <c r="A36" s="2"/>
      <c r="B36" s="1"/>
      <c r="C36" s="1"/>
      <c r="D36" s="8"/>
      <c r="E36" s="1"/>
      <c r="F36" s="1"/>
      <c r="G36" s="2"/>
      <c r="H36" s="4"/>
      <c r="I36" s="4"/>
      <c r="J36" s="4"/>
      <c r="K36" s="4"/>
      <c r="L36" s="1"/>
      <c r="M36" s="4"/>
      <c r="N36" s="4"/>
      <c r="O36" s="4"/>
      <c r="P36" s="4"/>
      <c r="Q36" s="4"/>
      <c r="R36" s="55"/>
      <c r="S36" s="13"/>
      <c r="U36" s="13"/>
      <c r="V36" s="13"/>
      <c r="W36" s="14"/>
      <c r="AA36" s="5"/>
      <c r="AB36" s="6"/>
      <c r="AE36" s="210">
        <f>SUM(AE15:AE35)</f>
        <v>0.9100206625399778</v>
      </c>
    </row>
    <row r="37" spans="1:27" s="26" customFormat="1" ht="15" customHeight="1">
      <c r="A37" s="80" t="s">
        <v>69</v>
      </c>
      <c r="B37" s="22"/>
      <c r="C37" s="22"/>
      <c r="D37" s="21"/>
      <c r="E37" s="22"/>
      <c r="F37" s="22"/>
      <c r="G37" s="28"/>
      <c r="W37" s="31"/>
      <c r="X37" s="31"/>
      <c r="AA37" s="167"/>
    </row>
    <row r="38" spans="1:28" s="26" customFormat="1" ht="15" customHeight="1">
      <c r="A38" s="29" t="s">
        <v>120</v>
      </c>
      <c r="B38" s="22"/>
      <c r="C38" s="22"/>
      <c r="D38" s="21"/>
      <c r="E38" s="22"/>
      <c r="F38" s="22"/>
      <c r="G38" s="28"/>
      <c r="K38" s="23"/>
      <c r="L38" s="22"/>
      <c r="M38" s="23"/>
      <c r="N38" s="23"/>
      <c r="O38" s="23"/>
      <c r="P38" s="23"/>
      <c r="Q38" s="23"/>
      <c r="R38" s="59"/>
      <c r="S38" s="23"/>
      <c r="T38" s="30"/>
      <c r="U38" s="23"/>
      <c r="W38" s="31"/>
      <c r="X38" s="31"/>
      <c r="AA38" s="167"/>
      <c r="AB38" s="24"/>
    </row>
    <row r="39" spans="1:28" s="26" customFormat="1" ht="15" customHeight="1">
      <c r="A39" s="23"/>
      <c r="B39" s="168"/>
      <c r="C39" s="169"/>
      <c r="D39" s="169"/>
      <c r="E39" s="169"/>
      <c r="F39" s="169"/>
      <c r="G39" s="169"/>
      <c r="H39" s="169"/>
      <c r="I39" s="169"/>
      <c r="J39" s="169"/>
      <c r="K39" s="169"/>
      <c r="L39" s="22"/>
      <c r="M39" s="23"/>
      <c r="N39" s="23"/>
      <c r="O39" s="23"/>
      <c r="P39" s="23"/>
      <c r="Q39" s="23"/>
      <c r="R39" s="59"/>
      <c r="S39" s="23"/>
      <c r="T39" s="30"/>
      <c r="U39" s="23"/>
      <c r="W39" s="31"/>
      <c r="X39" s="31"/>
      <c r="AA39" s="167"/>
      <c r="AB39" s="24"/>
    </row>
    <row r="40" spans="1:28" s="26" customFormat="1" ht="15" customHeight="1">
      <c r="A40" s="29" t="str">
        <f>'1300WWDM_SMF'!A40</f>
        <v>Changes over 3pmd042.xls of 27 April 2000:</v>
      </c>
      <c r="B40" s="29"/>
      <c r="C40" s="22"/>
      <c r="D40" s="21"/>
      <c r="E40" s="22"/>
      <c r="F40" s="22"/>
      <c r="G40" s="28"/>
      <c r="H40" s="23"/>
      <c r="I40" s="23"/>
      <c r="J40" s="23"/>
      <c r="K40" s="23"/>
      <c r="L40" s="22"/>
      <c r="M40" s="23"/>
      <c r="N40" s="23"/>
      <c r="O40" s="23"/>
      <c r="P40" s="23"/>
      <c r="Q40" s="23"/>
      <c r="R40" s="59"/>
      <c r="S40" s="23"/>
      <c r="T40" s="30"/>
      <c r="U40" s="23"/>
      <c r="W40" s="31"/>
      <c r="X40" s="31"/>
      <c r="AA40" s="167"/>
      <c r="AB40" s="24"/>
    </row>
    <row r="41" spans="1:28" s="26" customFormat="1" ht="15" customHeight="1">
      <c r="A41" s="29"/>
      <c r="B41" s="29"/>
      <c r="C41" s="22"/>
      <c r="D41" s="21"/>
      <c r="E41" s="22"/>
      <c r="F41" s="22"/>
      <c r="G41" s="28"/>
      <c r="H41" s="23"/>
      <c r="I41" s="23"/>
      <c r="J41" s="23"/>
      <c r="K41" s="23"/>
      <c r="L41" s="22"/>
      <c r="M41" s="23"/>
      <c r="N41" s="23"/>
      <c r="O41" s="23"/>
      <c r="P41" s="23"/>
      <c r="Q41" s="23"/>
      <c r="R41" s="59"/>
      <c r="S41" s="23"/>
      <c r="T41" s="30"/>
      <c r="U41" s="23"/>
      <c r="W41" s="31"/>
      <c r="X41" s="31"/>
      <c r="AA41" s="167"/>
      <c r="AB41" s="24"/>
    </row>
    <row r="42" spans="1:28" s="26" customFormat="1" ht="15" customHeight="1">
      <c r="A42" s="29"/>
      <c r="B42" s="29" t="str">
        <f>'1300WWDM_SMF'!B42</f>
        <v>Spectral width Uw reduced from 0.65 to 0.62 nm</v>
      </c>
      <c r="C42" s="22"/>
      <c r="D42" s="21"/>
      <c r="E42" s="22"/>
      <c r="F42" s="22"/>
      <c r="G42" s="28"/>
      <c r="H42" s="23"/>
      <c r="I42" s="23"/>
      <c r="J42" s="23"/>
      <c r="K42" s="23"/>
      <c r="L42" s="22"/>
      <c r="M42" s="23"/>
      <c r="N42" s="23"/>
      <c r="O42" s="23"/>
      <c r="P42" s="23"/>
      <c r="Q42" s="23"/>
      <c r="R42" s="59"/>
      <c r="S42" s="23"/>
      <c r="T42" s="30"/>
      <c r="U42" s="23"/>
      <c r="W42" s="31"/>
      <c r="X42" s="31"/>
      <c r="AA42" s="167"/>
      <c r="AB42" s="24"/>
    </row>
    <row r="43" spans="1:28" s="26" customFormat="1" ht="15" customHeight="1">
      <c r="A43" s="28"/>
      <c r="D43" s="21"/>
      <c r="E43" s="22"/>
      <c r="F43" s="22"/>
      <c r="G43" s="28"/>
      <c r="H43" s="23"/>
      <c r="I43" s="23"/>
      <c r="J43" s="23"/>
      <c r="K43" s="23"/>
      <c r="L43" s="22"/>
      <c r="M43" s="23"/>
      <c r="N43" s="23"/>
      <c r="O43" s="23"/>
      <c r="P43" s="23"/>
      <c r="Q43" s="23"/>
      <c r="R43" s="59"/>
      <c r="S43" s="23"/>
      <c r="T43" s="30"/>
      <c r="U43" s="23"/>
      <c r="W43" s="31"/>
      <c r="X43" s="31"/>
      <c r="AA43" s="167"/>
      <c r="AB43" s="24"/>
    </row>
    <row r="44" spans="1:28" s="26" customFormat="1" ht="15" customHeight="1">
      <c r="A44" s="28"/>
      <c r="B44" s="22"/>
      <c r="D44" s="21"/>
      <c r="E44" s="22"/>
      <c r="F44" s="22"/>
      <c r="G44" s="28"/>
      <c r="H44" s="23"/>
      <c r="I44" s="23"/>
      <c r="J44" s="23"/>
      <c r="K44" s="23"/>
      <c r="L44" s="22"/>
      <c r="M44" s="23"/>
      <c r="N44" s="23"/>
      <c r="O44" s="23"/>
      <c r="P44" s="23"/>
      <c r="Q44" s="23"/>
      <c r="R44" s="59"/>
      <c r="S44" s="23"/>
      <c r="T44" s="30"/>
      <c r="U44" s="23"/>
      <c r="W44" s="31"/>
      <c r="X44" s="31"/>
      <c r="AA44" s="167"/>
      <c r="AB44" s="24"/>
    </row>
    <row r="45" spans="1:28" s="26" customFormat="1" ht="15" customHeight="1">
      <c r="A45" s="28"/>
      <c r="B45" s="22"/>
      <c r="D45" s="21"/>
      <c r="E45" s="22"/>
      <c r="F45" s="22"/>
      <c r="G45" s="28"/>
      <c r="H45" s="23"/>
      <c r="I45" s="23"/>
      <c r="J45" s="23"/>
      <c r="K45" s="23"/>
      <c r="L45" s="22"/>
      <c r="M45" s="23"/>
      <c r="N45" s="23"/>
      <c r="O45" s="23"/>
      <c r="P45" s="23"/>
      <c r="Q45" s="23"/>
      <c r="R45" s="59"/>
      <c r="S45" s="23"/>
      <c r="T45" s="30"/>
      <c r="U45" s="23"/>
      <c r="W45" s="31"/>
      <c r="X45" s="31"/>
      <c r="AA45" s="167"/>
      <c r="AB45" s="24"/>
    </row>
    <row r="46" spans="1:28" ht="15" customHeight="1">
      <c r="A46" s="28"/>
      <c r="B46" s="22"/>
      <c r="D46" s="8"/>
      <c r="E46" s="1"/>
      <c r="F46" s="1"/>
      <c r="G46" s="2"/>
      <c r="H46" s="4"/>
      <c r="I46" s="4"/>
      <c r="J46" s="4"/>
      <c r="K46" s="4"/>
      <c r="L46" s="1"/>
      <c r="M46" s="4"/>
      <c r="N46" s="4"/>
      <c r="O46" s="4"/>
      <c r="P46" s="4"/>
      <c r="Q46" s="4"/>
      <c r="R46" s="55"/>
      <c r="S46" s="4"/>
      <c r="U46" s="4"/>
      <c r="AB46" s="6"/>
    </row>
    <row r="47" spans="1:28" ht="15" customHeight="1">
      <c r="A47" s="2"/>
      <c r="B47" s="22"/>
      <c r="C47" s="1"/>
      <c r="D47" s="8"/>
      <c r="E47" s="1"/>
      <c r="F47" s="1"/>
      <c r="G47" s="2"/>
      <c r="H47" s="4"/>
      <c r="I47" s="4"/>
      <c r="J47" s="4"/>
      <c r="K47" s="4"/>
      <c r="L47" s="1"/>
      <c r="M47" s="4"/>
      <c r="N47" s="1"/>
      <c r="O47" s="1"/>
      <c r="P47" s="1"/>
      <c r="Q47" s="4"/>
      <c r="R47" s="55"/>
      <c r="S47" s="4"/>
      <c r="U47" s="4"/>
      <c r="AB47" s="6"/>
    </row>
    <row r="48" spans="1:28" ht="15" customHeight="1">
      <c r="A48" s="2"/>
      <c r="B48" s="22"/>
      <c r="C48" s="1"/>
      <c r="D48" s="8"/>
      <c r="E48" s="1"/>
      <c r="F48" s="1"/>
      <c r="G48" s="2"/>
      <c r="H48" s="4"/>
      <c r="I48" s="4"/>
      <c r="J48" s="4"/>
      <c r="K48" s="4"/>
      <c r="L48" s="1"/>
      <c r="M48" s="4"/>
      <c r="N48" s="1"/>
      <c r="O48" s="1"/>
      <c r="P48" s="1"/>
      <c r="Q48" s="1"/>
      <c r="R48" s="60"/>
      <c r="S48" s="4"/>
      <c r="U48" s="4"/>
      <c r="AB48" s="6"/>
    </row>
    <row r="49" spans="1:28" ht="15" customHeight="1">
      <c r="A49" s="24"/>
      <c r="B49" s="22"/>
      <c r="C49" s="1"/>
      <c r="D49" s="8"/>
      <c r="E49" s="1"/>
      <c r="F49" s="1"/>
      <c r="G49" s="2"/>
      <c r="H49" s="4"/>
      <c r="I49" s="4"/>
      <c r="J49" s="4"/>
      <c r="K49" s="4"/>
      <c r="L49" s="1"/>
      <c r="M49" s="4"/>
      <c r="N49" s="1"/>
      <c r="O49" s="1"/>
      <c r="P49" s="1"/>
      <c r="Q49" s="4"/>
      <c r="R49" s="55"/>
      <c r="S49" s="4"/>
      <c r="U49" s="4"/>
      <c r="AB49" s="6"/>
    </row>
    <row r="50" spans="1:16" ht="15" customHeight="1">
      <c r="A50" s="15"/>
      <c r="B50" s="148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4"/>
      <c r="O50" s="4"/>
      <c r="P50" s="4"/>
    </row>
    <row r="51" spans="1:16" ht="15" customHeight="1">
      <c r="A51" s="24"/>
      <c r="B51" s="148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4"/>
      <c r="O51" s="4"/>
      <c r="P51" s="4"/>
    </row>
    <row r="52" spans="1:16" ht="15" customHeight="1">
      <c r="A52" s="15"/>
      <c r="B52" s="148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4"/>
      <c r="O52" s="4"/>
      <c r="P52" s="4"/>
    </row>
    <row r="53" spans="1:16" ht="1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4"/>
      <c r="O53" s="4"/>
      <c r="P53" s="4"/>
    </row>
    <row r="54" spans="1:16" ht="1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4"/>
      <c r="O54" s="4"/>
      <c r="P54" s="4"/>
    </row>
    <row r="55" spans="1:16" ht="1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4"/>
      <c r="O55" s="4"/>
      <c r="P55" s="4"/>
    </row>
    <row r="56" spans="1:16" ht="1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4"/>
      <c r="O56" s="4"/>
      <c r="P56" s="4"/>
    </row>
    <row r="57" spans="1:16" ht="1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4"/>
      <c r="O57" s="4"/>
      <c r="P57" s="4"/>
    </row>
    <row r="58" spans="1:16" ht="1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4"/>
      <c r="O58" s="4"/>
      <c r="P58" s="4"/>
    </row>
    <row r="59" spans="1:16" ht="1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4"/>
      <c r="O59" s="4"/>
      <c r="P59" s="4"/>
    </row>
    <row r="60" spans="1:16" ht="1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4"/>
      <c r="O60" s="4"/>
      <c r="P60" s="4"/>
    </row>
    <row r="61" spans="1:16" ht="1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4"/>
      <c r="O61" s="4"/>
      <c r="P61" s="4"/>
    </row>
    <row r="62" spans="1:16" ht="1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4"/>
      <c r="O62" s="4"/>
      <c r="P62" s="4"/>
    </row>
    <row r="63" spans="1:16" ht="1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4"/>
      <c r="O63" s="4"/>
      <c r="P63" s="4"/>
    </row>
    <row r="64" spans="1:16" ht="1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4"/>
      <c r="O64" s="4"/>
      <c r="P64" s="4"/>
    </row>
    <row r="65" spans="1:16" ht="1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4"/>
      <c r="O65" s="4"/>
      <c r="P65" s="4"/>
    </row>
    <row r="66" spans="1:16" ht="15" customHeight="1">
      <c r="A66" s="2"/>
      <c r="B66" s="1"/>
      <c r="C66" s="1"/>
      <c r="D66" s="8"/>
      <c r="E66" s="1"/>
      <c r="F66" s="1"/>
      <c r="G66" s="2"/>
      <c r="H66" s="4"/>
      <c r="I66" s="4"/>
      <c r="J66" s="4"/>
      <c r="K66" s="4"/>
      <c r="L66" s="1"/>
      <c r="M66" s="4"/>
      <c r="N66" s="4"/>
      <c r="O66" s="4"/>
      <c r="P66" s="4"/>
    </row>
    <row r="67" spans="1:16" ht="15" customHeight="1">
      <c r="A67" s="2"/>
      <c r="B67" s="1"/>
      <c r="C67" s="1"/>
      <c r="D67" s="8"/>
      <c r="E67" s="1"/>
      <c r="F67" s="1"/>
      <c r="G67" s="2"/>
      <c r="H67" s="4"/>
      <c r="I67" s="4"/>
      <c r="J67" s="4"/>
      <c r="K67" s="4"/>
      <c r="L67" s="1"/>
      <c r="M67" s="4"/>
      <c r="N67" s="4"/>
      <c r="O67" s="4"/>
      <c r="P67" s="4"/>
    </row>
    <row r="68" spans="1:16" ht="15" customHeight="1">
      <c r="A68" s="2"/>
      <c r="B68" s="1"/>
      <c r="C68" s="1"/>
      <c r="D68" s="8"/>
      <c r="E68" s="1"/>
      <c r="F68" s="1"/>
      <c r="G68" s="2"/>
      <c r="H68" s="4"/>
      <c r="I68" s="4"/>
      <c r="J68" s="4"/>
      <c r="K68" s="4"/>
      <c r="L68" s="1"/>
      <c r="M68" s="4"/>
      <c r="N68" s="4"/>
      <c r="O68" s="4"/>
      <c r="P68" s="4"/>
    </row>
    <row r="69" spans="1:16" ht="15" customHeight="1">
      <c r="A69" s="2"/>
      <c r="B69" s="1"/>
      <c r="C69" s="1"/>
      <c r="D69" s="8"/>
      <c r="E69" s="1"/>
      <c r="F69" s="1"/>
      <c r="G69" s="2"/>
      <c r="H69" s="4"/>
      <c r="I69" s="4"/>
      <c r="J69" s="4"/>
      <c r="K69" s="4"/>
      <c r="L69" s="1"/>
      <c r="M69" s="4"/>
      <c r="N69" s="4"/>
      <c r="O69" s="4"/>
      <c r="P69" s="4"/>
    </row>
    <row r="70" spans="1:16" ht="15" customHeight="1">
      <c r="A70" s="2"/>
      <c r="B70" s="1"/>
      <c r="C70" s="1"/>
      <c r="D70" s="8"/>
      <c r="E70" s="1"/>
      <c r="F70" s="1"/>
      <c r="G70" s="2"/>
      <c r="H70" s="4"/>
      <c r="I70" s="4"/>
      <c r="J70" s="4"/>
      <c r="K70" s="4"/>
      <c r="L70" s="1"/>
      <c r="M70" s="4"/>
      <c r="N70" s="4"/>
      <c r="O70" s="4"/>
      <c r="P70" s="4"/>
    </row>
    <row r="71" spans="1:16" ht="15" customHeight="1">
      <c r="A71" s="3"/>
      <c r="B71" s="4"/>
      <c r="C71" s="2"/>
      <c r="D71" s="8"/>
      <c r="E71" s="1"/>
      <c r="F71" s="1"/>
      <c r="G71" s="2"/>
      <c r="H71" s="4"/>
      <c r="I71" s="4"/>
      <c r="J71" s="4"/>
      <c r="K71" s="4"/>
      <c r="L71" s="1"/>
      <c r="M71" s="1"/>
      <c r="N71" s="1"/>
      <c r="O71" s="1"/>
      <c r="P71" s="1"/>
    </row>
    <row r="72" spans="1:16" ht="15" customHeight="1">
      <c r="A72" s="6"/>
      <c r="B72" s="1"/>
      <c r="C72" s="9"/>
      <c r="D72" s="8"/>
      <c r="E72" s="1"/>
      <c r="F72" s="1"/>
      <c r="G72" s="2"/>
      <c r="H72" s="4"/>
      <c r="I72" s="4"/>
      <c r="J72" s="4"/>
      <c r="K72" s="1"/>
      <c r="L72" s="1"/>
      <c r="M72" s="1"/>
      <c r="N72" s="1"/>
      <c r="O72" s="1"/>
      <c r="P72" s="1"/>
    </row>
    <row r="73" spans="1:16" ht="15" customHeight="1">
      <c r="A73" s="4"/>
      <c r="B73" s="4"/>
      <c r="C73" s="4"/>
      <c r="D73" s="8"/>
      <c r="E73" s="1"/>
      <c r="F73" s="1"/>
      <c r="G73" s="2"/>
      <c r="H73" s="4"/>
      <c r="I73" s="4"/>
      <c r="J73" s="4"/>
      <c r="K73" s="4"/>
      <c r="L73" s="1"/>
      <c r="M73" s="1"/>
      <c r="N73" s="1"/>
      <c r="O73" s="1"/>
      <c r="P73" s="1"/>
    </row>
    <row r="74" spans="1:16" ht="15" customHeight="1">
      <c r="A74" s="16"/>
      <c r="B74" s="3"/>
      <c r="C74" s="3"/>
      <c r="D74" s="8"/>
      <c r="E74" s="1"/>
      <c r="F74" s="1"/>
      <c r="G74" s="2"/>
      <c r="H74" s="4"/>
      <c r="I74" s="4"/>
      <c r="J74" s="4"/>
      <c r="K74" s="1"/>
      <c r="L74" s="8"/>
      <c r="M74" s="1"/>
      <c r="N74" s="1"/>
      <c r="O74" s="1"/>
      <c r="P74" s="1"/>
    </row>
    <row r="75" spans="1:16" ht="15" customHeight="1">
      <c r="A75" s="11"/>
      <c r="B75" s="3"/>
      <c r="C75" s="3"/>
      <c r="D75" s="8"/>
      <c r="E75" s="1"/>
      <c r="F75" s="1"/>
      <c r="G75" s="2"/>
      <c r="H75" s="4"/>
      <c r="I75" s="4"/>
      <c r="J75" s="4"/>
      <c r="K75" s="4"/>
      <c r="L75" s="1"/>
      <c r="M75" s="1"/>
      <c r="N75" s="1"/>
      <c r="O75" s="1"/>
      <c r="P75" s="1"/>
    </row>
    <row r="76" spans="1:16" ht="15" customHeight="1">
      <c r="A76" s="11"/>
      <c r="B76" s="3"/>
      <c r="C76" s="3"/>
      <c r="D76" s="8"/>
      <c r="E76" s="1"/>
      <c r="F76" s="1"/>
      <c r="G76" s="2"/>
      <c r="H76" s="4"/>
      <c r="I76" s="4"/>
      <c r="J76" s="4"/>
      <c r="K76" s="4"/>
      <c r="L76" s="1"/>
      <c r="M76" s="1"/>
      <c r="N76" s="1"/>
      <c r="O76" s="1"/>
      <c r="P76" s="1"/>
    </row>
    <row r="77" spans="1:16" ht="15" customHeight="1">
      <c r="A77" s="11"/>
      <c r="B77" s="3"/>
      <c r="C77" s="3"/>
      <c r="D77" s="8"/>
      <c r="E77" s="1"/>
      <c r="F77" s="1"/>
      <c r="G77" s="2"/>
      <c r="H77" s="4"/>
      <c r="I77" s="4"/>
      <c r="J77" s="4"/>
      <c r="K77" s="4"/>
      <c r="L77" s="1"/>
      <c r="M77" s="1"/>
      <c r="N77" s="1"/>
      <c r="O77" s="1"/>
      <c r="P77" s="1"/>
    </row>
    <row r="78" spans="1:16" ht="15" customHeight="1">
      <c r="A78" s="11"/>
      <c r="B78" s="3"/>
      <c r="C78" s="3"/>
      <c r="D78" s="8"/>
      <c r="E78" s="1"/>
      <c r="F78" s="1"/>
      <c r="G78" s="2"/>
      <c r="H78" s="4"/>
      <c r="I78" s="4"/>
      <c r="J78" s="4"/>
      <c r="K78" s="4"/>
      <c r="L78" s="1"/>
      <c r="M78" s="1"/>
      <c r="N78" s="1"/>
      <c r="O78" s="1"/>
      <c r="P78" s="1"/>
    </row>
    <row r="79" spans="1:16" ht="15" customHeight="1">
      <c r="A79" s="11"/>
      <c r="B79" s="3"/>
      <c r="C79" s="3"/>
      <c r="D79" s="8"/>
      <c r="E79" s="1"/>
      <c r="F79" s="1"/>
      <c r="G79" s="2"/>
      <c r="H79" s="4"/>
      <c r="I79" s="4"/>
      <c r="J79" s="4"/>
      <c r="K79" s="4"/>
      <c r="L79" s="1"/>
      <c r="M79" s="1"/>
      <c r="N79" s="1"/>
      <c r="O79" s="1"/>
      <c r="P79" s="1"/>
    </row>
    <row r="80" spans="1:16" ht="15" customHeight="1">
      <c r="A80" s="11"/>
      <c r="B80" s="3"/>
      <c r="C80" s="3"/>
      <c r="D80" s="8"/>
      <c r="E80" s="1"/>
      <c r="F80" s="1"/>
      <c r="G80" s="2"/>
      <c r="H80" s="4"/>
      <c r="I80" s="4"/>
      <c r="J80" s="4"/>
      <c r="K80" s="4"/>
      <c r="L80" s="1"/>
      <c r="M80" s="1"/>
      <c r="N80" s="1"/>
      <c r="O80" s="1"/>
      <c r="P80" s="1"/>
    </row>
    <row r="81" spans="1:16" ht="15" customHeight="1">
      <c r="A81" s="11"/>
      <c r="B81" s="3"/>
      <c r="C81" s="3"/>
      <c r="D81" s="8"/>
      <c r="E81" s="1"/>
      <c r="F81" s="1"/>
      <c r="G81" s="2"/>
      <c r="H81" s="4"/>
      <c r="I81" s="4"/>
      <c r="J81" s="4"/>
      <c r="K81" s="4"/>
      <c r="L81" s="1"/>
      <c r="M81" s="1"/>
      <c r="N81" s="1"/>
      <c r="O81" s="1"/>
      <c r="P81" s="1"/>
    </row>
    <row r="82" spans="1:16" ht="15" customHeight="1">
      <c r="A82" s="11"/>
      <c r="B82" s="3"/>
      <c r="C82" s="3"/>
      <c r="D82" s="8"/>
      <c r="E82" s="1"/>
      <c r="F82" s="1"/>
      <c r="G82" s="2"/>
      <c r="H82" s="4"/>
      <c r="I82" s="4"/>
      <c r="J82" s="4"/>
      <c r="K82" s="4"/>
      <c r="L82" s="1"/>
      <c r="M82" s="1"/>
      <c r="N82" s="1"/>
      <c r="O82" s="1"/>
      <c r="P82" s="1"/>
    </row>
    <row r="83" spans="1:16" ht="15" customHeight="1">
      <c r="A83" s="11"/>
      <c r="B83" s="3"/>
      <c r="C83" s="3"/>
      <c r="D83" s="8"/>
      <c r="E83" s="1"/>
      <c r="F83" s="1"/>
      <c r="G83" s="2"/>
      <c r="H83" s="4"/>
      <c r="I83" s="4"/>
      <c r="J83" s="4"/>
      <c r="K83" s="4"/>
      <c r="L83" s="1"/>
      <c r="M83" s="1"/>
      <c r="N83" s="1"/>
      <c r="O83" s="1"/>
      <c r="P83" s="1"/>
    </row>
    <row r="84" spans="1:16" ht="15" customHeight="1">
      <c r="A84" s="11"/>
      <c r="B84" s="3"/>
      <c r="C84" s="3"/>
      <c r="D84" s="8"/>
      <c r="E84" s="1"/>
      <c r="F84" s="1"/>
      <c r="G84" s="2"/>
      <c r="H84" s="4"/>
      <c r="I84" s="4"/>
      <c r="J84" s="4"/>
      <c r="K84" s="4"/>
      <c r="L84" s="1"/>
      <c r="M84" s="1"/>
      <c r="N84" s="1"/>
      <c r="O84" s="1"/>
      <c r="P84" s="1"/>
    </row>
    <row r="85" spans="1:16" ht="15" customHeight="1">
      <c r="A85" s="2"/>
      <c r="B85" s="1"/>
      <c r="C85" s="1"/>
      <c r="D85" s="8"/>
      <c r="E85" s="1"/>
      <c r="F85" s="1"/>
      <c r="G85" s="2"/>
      <c r="H85" s="4"/>
      <c r="I85" s="4"/>
      <c r="J85" s="4"/>
      <c r="K85" s="4"/>
      <c r="L85" s="1"/>
      <c r="M85" s="17"/>
      <c r="N85" s="4"/>
      <c r="O85" s="4"/>
      <c r="P85" s="4"/>
    </row>
    <row r="86" spans="1:16" ht="15" customHeight="1">
      <c r="A86" s="2"/>
      <c r="B86" s="1"/>
      <c r="C86" s="1"/>
      <c r="D86" s="8"/>
      <c r="E86" s="1"/>
      <c r="F86" s="1"/>
      <c r="G86" s="2"/>
      <c r="H86" s="4"/>
      <c r="I86" s="4"/>
      <c r="J86" s="4"/>
      <c r="K86" s="4"/>
      <c r="L86" s="1"/>
      <c r="M86" s="17"/>
      <c r="N86" s="4"/>
      <c r="O86" s="4"/>
      <c r="P86" s="4"/>
    </row>
    <row r="87" spans="1:16" ht="15" customHeight="1">
      <c r="A87" s="2"/>
      <c r="B87" s="1"/>
      <c r="C87" s="1"/>
      <c r="D87" s="8"/>
      <c r="E87" s="1"/>
      <c r="F87" s="1"/>
      <c r="G87" s="2"/>
      <c r="H87" s="4"/>
      <c r="I87" s="4"/>
      <c r="J87" s="4"/>
      <c r="K87" s="4"/>
      <c r="L87" s="1"/>
      <c r="M87" s="4"/>
      <c r="N87" s="4"/>
      <c r="O87" s="4"/>
      <c r="P87" s="4"/>
    </row>
    <row r="88" spans="1:16" ht="15" customHeight="1">
      <c r="A88" s="2"/>
      <c r="B88" s="1"/>
      <c r="C88" s="1"/>
      <c r="D88" s="8"/>
      <c r="E88" s="1"/>
      <c r="F88" s="1"/>
      <c r="G88" s="2"/>
      <c r="H88" s="4"/>
      <c r="I88" s="4"/>
      <c r="J88" s="4"/>
      <c r="K88" s="4"/>
      <c r="L88" s="1"/>
      <c r="M88" s="4"/>
      <c r="N88" s="4"/>
      <c r="O88" s="4"/>
      <c r="P88" s="4"/>
    </row>
    <row r="89" spans="1:16" ht="15" customHeight="1">
      <c r="A89" s="2"/>
      <c r="B89" s="1"/>
      <c r="C89" s="1"/>
      <c r="D89" s="8"/>
      <c r="E89" s="1"/>
      <c r="F89" s="1"/>
      <c r="G89" s="2"/>
      <c r="H89" s="4"/>
      <c r="I89" s="4"/>
      <c r="J89" s="4"/>
      <c r="K89" s="4"/>
      <c r="L89" s="1"/>
      <c r="M89" s="4"/>
      <c r="N89" s="4"/>
      <c r="O89" s="4"/>
      <c r="P89" s="4"/>
    </row>
    <row r="90" spans="1:16" ht="15" customHeight="1">
      <c r="A90" s="2"/>
      <c r="B90" s="1"/>
      <c r="C90" s="1"/>
      <c r="D90" s="8"/>
      <c r="E90" s="1"/>
      <c r="F90" s="1"/>
      <c r="G90" s="2"/>
      <c r="H90" s="4"/>
      <c r="I90" s="4"/>
      <c r="J90" s="4"/>
      <c r="K90" s="4"/>
      <c r="L90" s="1"/>
      <c r="M90" s="4"/>
      <c r="N90" s="4"/>
      <c r="O90" s="4"/>
      <c r="P90" s="4"/>
    </row>
    <row r="91" spans="1:16" ht="15" customHeight="1">
      <c r="A91" s="2"/>
      <c r="B91" s="1"/>
      <c r="C91" s="1"/>
      <c r="D91" s="8"/>
      <c r="E91" s="1"/>
      <c r="F91" s="1"/>
      <c r="G91" s="2"/>
      <c r="H91" s="4"/>
      <c r="I91" s="4"/>
      <c r="J91" s="4"/>
      <c r="K91" s="4"/>
      <c r="L91" s="1"/>
      <c r="M91" s="4"/>
      <c r="N91" s="4"/>
      <c r="O91" s="4"/>
      <c r="P91" s="4"/>
    </row>
    <row r="92" spans="1:16" ht="15" customHeight="1">
      <c r="A92" s="2"/>
      <c r="B92" s="1"/>
      <c r="C92" s="1"/>
      <c r="D92" s="8"/>
      <c r="E92" s="1"/>
      <c r="F92" s="1"/>
      <c r="G92" s="2"/>
      <c r="H92" s="4"/>
      <c r="I92" s="4"/>
      <c r="J92" s="4"/>
      <c r="K92" s="4"/>
      <c r="L92" s="1"/>
      <c r="M92" s="4"/>
      <c r="N92" s="4"/>
      <c r="O92" s="4"/>
      <c r="P92" s="4"/>
    </row>
    <row r="93" spans="1:16" ht="15" customHeight="1">
      <c r="A93" s="2"/>
      <c r="B93" s="1"/>
      <c r="C93" s="1"/>
      <c r="D93" s="8"/>
      <c r="E93" s="1"/>
      <c r="F93" s="1"/>
      <c r="G93" s="2"/>
      <c r="H93" s="4"/>
      <c r="I93" s="4"/>
      <c r="J93" s="4"/>
      <c r="K93" s="4"/>
      <c r="L93" s="1"/>
      <c r="M93" s="4"/>
      <c r="N93" s="4"/>
      <c r="O93" s="4"/>
      <c r="P93" s="4"/>
    </row>
    <row r="94" spans="1:16" ht="15" customHeight="1">
      <c r="A94" s="2"/>
      <c r="B94" s="1"/>
      <c r="C94" s="1"/>
      <c r="D94" s="8"/>
      <c r="E94" s="1"/>
      <c r="F94" s="1"/>
      <c r="G94" s="2"/>
      <c r="H94" s="4"/>
      <c r="I94" s="4"/>
      <c r="J94" s="4"/>
      <c r="K94" s="4"/>
      <c r="L94" s="1"/>
      <c r="M94" s="4"/>
      <c r="N94" s="4"/>
      <c r="O94" s="4"/>
      <c r="P94" s="4"/>
    </row>
    <row r="95" spans="1:16" ht="15" customHeight="1">
      <c r="A95" s="2"/>
      <c r="B95" s="1"/>
      <c r="C95" s="1"/>
      <c r="D95" s="8"/>
      <c r="E95" s="1"/>
      <c r="F95" s="1"/>
      <c r="G95" s="2"/>
      <c r="H95" s="4"/>
      <c r="I95" s="4"/>
      <c r="J95" s="4"/>
      <c r="K95" s="4"/>
      <c r="L95" s="1"/>
      <c r="M95" s="4"/>
      <c r="N95" s="4"/>
      <c r="O95" s="4"/>
      <c r="P95" s="4"/>
    </row>
    <row r="96" spans="1:16" ht="15" customHeight="1">
      <c r="A96" s="2"/>
      <c r="B96" s="1"/>
      <c r="C96" s="1"/>
      <c r="D96" s="8"/>
      <c r="E96" s="1"/>
      <c r="F96" s="1"/>
      <c r="G96" s="2"/>
      <c r="H96" s="4"/>
      <c r="I96" s="4"/>
      <c r="J96" s="4"/>
      <c r="K96" s="4"/>
      <c r="L96" s="1"/>
      <c r="M96" s="4"/>
      <c r="N96" s="4"/>
      <c r="O96" s="4"/>
      <c r="P96" s="4"/>
    </row>
    <row r="97" spans="1:16" ht="15" customHeight="1">
      <c r="A97" s="2"/>
      <c r="B97" s="1"/>
      <c r="C97" s="1"/>
      <c r="D97" s="8"/>
      <c r="E97" s="1"/>
      <c r="F97" s="1"/>
      <c r="G97" s="2"/>
      <c r="H97" s="4"/>
      <c r="I97" s="4"/>
      <c r="J97" s="4"/>
      <c r="K97" s="4"/>
      <c r="L97" s="1"/>
      <c r="M97" s="4"/>
      <c r="N97" s="4"/>
      <c r="O97" s="4"/>
      <c r="P97" s="4"/>
    </row>
  </sheetData>
  <mergeCells count="1">
    <mergeCell ref="P1:Q1"/>
  </mergeCells>
  <printOptions horizontalCentered="1"/>
  <pageMargins left="0.5" right="0.5" top="0.5" bottom="0.6" header="0.3" footer="0.4"/>
  <pageSetup fitToHeight="1" fitToWidth="1" horizontalDpi="600" verticalDpi="600" orientation="landscape" scale="69" r:id="rId2"/>
  <headerFooter alignWithMargins="0">
    <oddHeader xml:space="preserve">&amp;CSpreadsheet by Agilent Technologies&amp;R </oddHeader>
    <oddFooter>&amp;L&amp;F tab &amp;A page &amp;P of &amp;N&amp;RPrinted &amp;T 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7"/>
  <sheetViews>
    <sheetView showGridLines="0" showOutlineSymbols="0" zoomScale="70" zoomScaleNormal="70" workbookViewId="0" topLeftCell="A1">
      <selection activeCell="A3" sqref="A3"/>
    </sheetView>
  </sheetViews>
  <sheetFormatPr defaultColWidth="9.140625" defaultRowHeight="12.75"/>
  <cols>
    <col min="1" max="1" width="10.7109375" style="5" customWidth="1"/>
    <col min="2" max="3" width="10.8515625" style="5" customWidth="1"/>
    <col min="4" max="4" width="9.7109375" style="5" customWidth="1"/>
    <col min="5" max="5" width="10.7109375" style="5" customWidth="1"/>
    <col min="6" max="6" width="6.57421875" style="5" customWidth="1"/>
    <col min="7" max="8" width="6.7109375" style="5" customWidth="1"/>
    <col min="9" max="9" width="7.28125" style="5" customWidth="1"/>
    <col min="10" max="10" width="7.7109375" style="5" customWidth="1"/>
    <col min="11" max="11" width="7.28125" style="5" customWidth="1"/>
    <col min="12" max="12" width="6.57421875" style="5" customWidth="1"/>
    <col min="13" max="14" width="6.28125" style="5" customWidth="1"/>
    <col min="15" max="17" width="7.7109375" style="5" customWidth="1"/>
    <col min="18" max="18" width="8.421875" style="56" customWidth="1"/>
    <col min="19" max="19" width="6.57421875" style="5" customWidth="1"/>
    <col min="20" max="20" width="7.28125" style="7" customWidth="1"/>
    <col min="21" max="21" width="7.421875" style="5" customWidth="1"/>
    <col min="22" max="22" width="7.7109375" style="5" customWidth="1"/>
    <col min="23" max="23" width="11.140625" style="10" customWidth="1"/>
    <col min="24" max="24" width="8.8515625" style="10" customWidth="1"/>
    <col min="25" max="25" width="8.140625" style="5" customWidth="1"/>
    <col min="26" max="26" width="7.57421875" style="5" customWidth="1"/>
    <col min="27" max="27" width="10.00390625" style="166" customWidth="1"/>
    <col min="28" max="28" width="6.00390625" style="5" customWidth="1"/>
    <col min="29" max="30" width="7.00390625" style="5" customWidth="1"/>
    <col min="31" max="32" width="10.00390625" style="5" customWidth="1"/>
    <col min="33" max="16384" width="11.140625" style="5" customWidth="1"/>
  </cols>
  <sheetData>
    <row r="1" spans="1:32" s="133" customFormat="1" ht="15">
      <c r="A1" s="130" t="s">
        <v>121</v>
      </c>
      <c r="B1" s="113"/>
      <c r="C1" s="113"/>
      <c r="D1" s="113"/>
      <c r="E1" s="117"/>
      <c r="F1" s="117"/>
      <c r="G1" s="117"/>
      <c r="H1" s="117"/>
      <c r="I1" s="117"/>
      <c r="J1" s="117"/>
      <c r="K1" s="117"/>
      <c r="L1" s="131" t="s">
        <v>76</v>
      </c>
      <c r="M1" s="113" t="s">
        <v>59</v>
      </c>
      <c r="N1" s="117"/>
      <c r="O1" s="138" t="s">
        <v>54</v>
      </c>
      <c r="P1" s="260">
        <f>Notes!D17</f>
        <v>36714</v>
      </c>
      <c r="Q1" s="261"/>
      <c r="R1" s="224" t="s">
        <v>1</v>
      </c>
      <c r="S1" s="230"/>
      <c r="T1" s="234" t="s">
        <v>145</v>
      </c>
      <c r="U1" s="230" t="str">
        <f>Notes!A1</f>
        <v>5pmd047.xls</v>
      </c>
      <c r="V1" s="223"/>
      <c r="W1" s="231">
        <f>Notes!D1</f>
        <v>36714</v>
      </c>
      <c r="Z1" s="51"/>
      <c r="AA1" s="164"/>
      <c r="AB1" s="226"/>
      <c r="AC1" s="51"/>
      <c r="AD1" s="51"/>
      <c r="AE1" s="51"/>
      <c r="AF1" s="51"/>
    </row>
    <row r="2" spans="1:32" ht="15.75">
      <c r="A2" s="62" t="s">
        <v>2</v>
      </c>
      <c r="B2" s="121" t="s">
        <v>3</v>
      </c>
      <c r="C2" s="73"/>
      <c r="D2" s="65"/>
      <c r="E2" s="73"/>
      <c r="F2" s="73"/>
      <c r="G2" s="62"/>
      <c r="H2" s="61"/>
      <c r="I2" s="65" t="s">
        <v>104</v>
      </c>
      <c r="J2" s="137">
        <v>0.3</v>
      </c>
      <c r="K2" s="61" t="s">
        <v>105</v>
      </c>
      <c r="L2" s="61"/>
      <c r="M2" s="73"/>
      <c r="N2" s="61"/>
      <c r="O2" s="62" t="s">
        <v>110</v>
      </c>
      <c r="P2" s="146">
        <f>1000000/$P$6</f>
        <v>295</v>
      </c>
      <c r="Q2" s="61" t="s">
        <v>99</v>
      </c>
      <c r="R2" s="250" t="str">
        <f>Notes!G17</f>
        <v>2.3.5</v>
      </c>
      <c r="S2" s="46"/>
      <c r="T2" s="235"/>
      <c r="U2" s="46"/>
      <c r="V2" s="232" t="s">
        <v>1</v>
      </c>
      <c r="W2" s="233" t="str">
        <f>Notes!F1</f>
        <v>0.4.7</v>
      </c>
      <c r="X2" s="6"/>
      <c r="Y2" s="1"/>
      <c r="Z2" s="1"/>
      <c r="AA2" s="165"/>
      <c r="AB2" s="66"/>
      <c r="AC2" s="1"/>
      <c r="AD2" s="1"/>
      <c r="AE2" s="1"/>
      <c r="AF2" s="1"/>
    </row>
    <row r="3" spans="1:32" ht="15" customHeight="1">
      <c r="A3" s="73"/>
      <c r="B3" s="73"/>
      <c r="C3" s="73"/>
      <c r="D3" s="65" t="s">
        <v>5</v>
      </c>
      <c r="E3" s="152">
        <v>500</v>
      </c>
      <c r="F3" s="61"/>
      <c r="G3" s="61"/>
      <c r="H3" s="73"/>
      <c r="I3" s="62" t="s">
        <v>107</v>
      </c>
      <c r="J3" s="120">
        <v>0.2</v>
      </c>
      <c r="K3" s="73" t="s">
        <v>105</v>
      </c>
      <c r="L3" s="61"/>
      <c r="M3" s="73"/>
      <c r="N3" s="61"/>
      <c r="O3" s="62" t="s">
        <v>4</v>
      </c>
      <c r="P3" s="49">
        <f>IF($B$4&gt;1000,$E$6/1.5,$E$6/3.5)</f>
        <v>1</v>
      </c>
      <c r="Q3" s="61"/>
      <c r="R3" s="81"/>
      <c r="S3" s="85"/>
      <c r="T3" s="82"/>
      <c r="U3" s="67"/>
      <c r="V3" s="73"/>
      <c r="W3" s="66"/>
      <c r="X3" s="6"/>
      <c r="Y3" s="1"/>
      <c r="Z3" s="1"/>
      <c r="AA3" s="165"/>
      <c r="AB3" s="84"/>
      <c r="AC3" s="1"/>
      <c r="AD3" s="1"/>
      <c r="AE3" s="1"/>
      <c r="AF3" s="1"/>
    </row>
    <row r="4" spans="1:32" ht="15" customHeight="1">
      <c r="A4" s="62" t="s">
        <v>55</v>
      </c>
      <c r="B4" s="86">
        <v>1270</v>
      </c>
      <c r="C4" s="73"/>
      <c r="D4" s="65" t="s">
        <v>9</v>
      </c>
      <c r="E4" s="83">
        <v>0.11</v>
      </c>
      <c r="F4" s="61"/>
      <c r="G4" s="61"/>
      <c r="H4" s="73"/>
      <c r="I4" s="62" t="s">
        <v>108</v>
      </c>
      <c r="J4" s="156">
        <f>10^(INT(LOG10(J3/9)))</f>
        <v>0.01</v>
      </c>
      <c r="K4" s="61" t="s">
        <v>105</v>
      </c>
      <c r="L4" s="61"/>
      <c r="M4" s="61"/>
      <c r="N4" s="61"/>
      <c r="O4" s="62" t="s">
        <v>6</v>
      </c>
      <c r="P4" s="146">
        <f>B7*1.518</f>
        <v>151.8</v>
      </c>
      <c r="Q4" s="73" t="s">
        <v>99</v>
      </c>
      <c r="R4" s="87" t="s">
        <v>7</v>
      </c>
      <c r="S4" s="85"/>
      <c r="T4" s="82"/>
      <c r="U4" s="67"/>
      <c r="V4" s="73"/>
      <c r="W4" s="66"/>
      <c r="X4" s="6"/>
      <c r="Y4" s="1"/>
      <c r="Z4" s="1"/>
      <c r="AA4" s="165"/>
      <c r="AB4" s="85"/>
      <c r="AC4" s="1"/>
      <c r="AD4" s="1"/>
      <c r="AE4" s="1"/>
      <c r="AF4" s="1"/>
    </row>
    <row r="5" spans="1:32" ht="15" customHeight="1">
      <c r="A5" s="62" t="s">
        <v>8</v>
      </c>
      <c r="B5" s="88">
        <v>0.62</v>
      </c>
      <c r="C5" s="73"/>
      <c r="D5" s="65" t="s">
        <v>56</v>
      </c>
      <c r="E5" s="83">
        <v>1320</v>
      </c>
      <c r="F5" s="61"/>
      <c r="G5" s="61"/>
      <c r="H5" s="73"/>
      <c r="I5" s="62" t="s">
        <v>12</v>
      </c>
      <c r="J5" s="89">
        <v>480</v>
      </c>
      <c r="K5" s="61" t="s">
        <v>103</v>
      </c>
      <c r="L5" s="73"/>
      <c r="M5" s="67"/>
      <c r="N5" s="61"/>
      <c r="O5" s="62" t="s">
        <v>10</v>
      </c>
      <c r="P5" s="97">
        <v>0.7</v>
      </c>
      <c r="Q5" s="61"/>
      <c r="R5" s="87" t="s">
        <v>11</v>
      </c>
      <c r="S5" s="81"/>
      <c r="T5" s="82"/>
      <c r="U5" s="67"/>
      <c r="V5" s="73"/>
      <c r="W5" s="66"/>
      <c r="X5" s="6"/>
      <c r="Y5" s="1"/>
      <c r="Z5" s="1"/>
      <c r="AA5" s="165"/>
      <c r="AB5" s="85"/>
      <c r="AC5" s="1"/>
      <c r="AD5" s="1"/>
      <c r="AE5" s="1"/>
      <c r="AF5" s="1"/>
    </row>
    <row r="6" spans="1:32" ht="15" customHeight="1">
      <c r="A6" s="62" t="s">
        <v>74</v>
      </c>
      <c r="B6" s="83">
        <v>7</v>
      </c>
      <c r="C6" s="73" t="s">
        <v>63</v>
      </c>
      <c r="D6" s="65" t="s">
        <v>95</v>
      </c>
      <c r="E6" s="83">
        <v>1.5</v>
      </c>
      <c r="F6" s="61" t="str">
        <f>"dB/km at "&amp;IF(B4&lt;1000,850,1300)&amp;" nm"</f>
        <v>dB/km at 1300 nm</v>
      </c>
      <c r="G6" s="61"/>
      <c r="H6" s="73"/>
      <c r="I6" s="62" t="s">
        <v>15</v>
      </c>
      <c r="J6" s="88">
        <v>7.037</v>
      </c>
      <c r="K6" s="61"/>
      <c r="L6" s="61"/>
      <c r="M6" s="67"/>
      <c r="N6" s="61"/>
      <c r="O6" s="65" t="s">
        <v>13</v>
      </c>
      <c r="P6" s="90">
        <f>(P7)</f>
        <v>3389.830508474576</v>
      </c>
      <c r="Q6" s="66"/>
      <c r="R6" s="85"/>
      <c r="S6" s="66" t="s">
        <v>47</v>
      </c>
      <c r="T6" s="52">
        <f>$E$9-$E$10</f>
        <v>6</v>
      </c>
      <c r="U6" s="246" t="s">
        <v>63</v>
      </c>
      <c r="V6" s="73"/>
      <c r="W6" s="66"/>
      <c r="Y6" s="175" t="s">
        <v>127</v>
      </c>
      <c r="Z6" s="176">
        <f>$Z$8*$P$2/(SQRT(8)*$T$9)</f>
        <v>2.0312797517227614</v>
      </c>
      <c r="AA6" s="177" t="s">
        <v>77</v>
      </c>
      <c r="AB6" s="61"/>
      <c r="AC6" s="1"/>
      <c r="AD6" s="1"/>
      <c r="AE6" s="1"/>
      <c r="AF6" s="1"/>
    </row>
    <row r="7" spans="1:32" ht="15" customHeight="1">
      <c r="A7" s="62" t="s">
        <v>14</v>
      </c>
      <c r="B7" s="83">
        <v>100</v>
      </c>
      <c r="C7" s="73" t="s">
        <v>99</v>
      </c>
      <c r="D7" s="62" t="s">
        <v>96</v>
      </c>
      <c r="E7" s="155">
        <v>3125</v>
      </c>
      <c r="F7" s="73" t="s">
        <v>101</v>
      </c>
      <c r="G7" s="67"/>
      <c r="H7" s="67"/>
      <c r="I7" s="65" t="s">
        <v>100</v>
      </c>
      <c r="J7" s="154">
        <f>2.5*10^5/$E$7</f>
        <v>80</v>
      </c>
      <c r="K7" s="67" t="s">
        <v>99</v>
      </c>
      <c r="L7" s="61"/>
      <c r="M7" s="67"/>
      <c r="N7" s="61"/>
      <c r="O7" s="65" t="s">
        <v>16</v>
      </c>
      <c r="P7" s="91">
        <f>1/((1/$E$7)-$J$8*10^-6)</f>
        <v>3389.830508474576</v>
      </c>
      <c r="Q7" s="66"/>
      <c r="R7" s="85"/>
      <c r="S7" s="93" t="s">
        <v>33</v>
      </c>
      <c r="T7" s="118">
        <f>AE36</f>
        <v>0.4105893351779013</v>
      </c>
      <c r="U7" s="94" t="str">
        <f>"dB at target "&amp;J2&amp;" km"</f>
        <v>dB at target 0.3 km</v>
      </c>
      <c r="V7" s="73"/>
      <c r="W7" s="122"/>
      <c r="Y7" s="175" t="s">
        <v>128</v>
      </c>
      <c r="Z7" s="178">
        <f>IF(ABS($Z$6)&lt;10,SIGN($Z$6)*ERF(ABS($Z$6)),SIGN($Z$6))</f>
        <v>0.9959297241782481</v>
      </c>
      <c r="AA7" s="177" t="s">
        <v>77</v>
      </c>
      <c r="AB7" s="61"/>
      <c r="AC7" s="1"/>
      <c r="AD7" s="1"/>
      <c r="AE7" s="1"/>
      <c r="AF7" s="1"/>
    </row>
    <row r="8" spans="1:32" ht="15" customHeight="1">
      <c r="A8" s="62" t="s">
        <v>86</v>
      </c>
      <c r="B8" s="83">
        <v>-120</v>
      </c>
      <c r="C8" s="105" t="s">
        <v>85</v>
      </c>
      <c r="D8" s="65" t="s">
        <v>97</v>
      </c>
      <c r="E8" s="152">
        <v>2500</v>
      </c>
      <c r="F8" s="73" t="s">
        <v>102</v>
      </c>
      <c r="G8" s="67"/>
      <c r="H8" s="61"/>
      <c r="I8" s="65" t="s">
        <v>19</v>
      </c>
      <c r="J8" s="83">
        <v>25</v>
      </c>
      <c r="K8" s="61"/>
      <c r="L8" s="61"/>
      <c r="M8" s="61"/>
      <c r="N8" s="61"/>
      <c r="O8" s="62" t="s">
        <v>17</v>
      </c>
      <c r="P8" s="63">
        <f>(10^-6)*$J$7*$P$7</f>
        <v>0.27118644067796605</v>
      </c>
      <c r="Q8" s="66"/>
      <c r="R8" s="85"/>
      <c r="S8" s="65" t="s">
        <v>112</v>
      </c>
      <c r="T8" s="51">
        <f>$P$3*((1/(0.00094*$B$4)^4)+1.05)</f>
        <v>1.542349727375382</v>
      </c>
      <c r="U8" s="61" t="str">
        <f>"dB/km at "&amp;B4&amp;" nm"</f>
        <v>dB/km at 1270 nm</v>
      </c>
      <c r="V8" s="73"/>
      <c r="W8" s="66"/>
      <c r="Y8" s="175" t="s">
        <v>129</v>
      </c>
      <c r="Z8" s="179">
        <v>2.563</v>
      </c>
      <c r="AA8" s="177" t="s">
        <v>77</v>
      </c>
      <c r="AB8" s="61"/>
      <c r="AC8" s="1"/>
      <c r="AD8" s="1"/>
      <c r="AE8" s="1"/>
      <c r="AF8" s="1"/>
    </row>
    <row r="9" spans="1:32" ht="15" customHeight="1">
      <c r="A9" s="62" t="s">
        <v>18</v>
      </c>
      <c r="B9" s="83">
        <v>0.8</v>
      </c>
      <c r="C9" s="73"/>
      <c r="D9" s="65" t="s">
        <v>67</v>
      </c>
      <c r="E9" s="83">
        <v>8</v>
      </c>
      <c r="F9" s="73"/>
      <c r="G9" s="73"/>
      <c r="H9" s="61"/>
      <c r="I9" s="65" t="s">
        <v>22</v>
      </c>
      <c r="J9" s="129">
        <v>-7.5</v>
      </c>
      <c r="K9" s="67"/>
      <c r="L9" s="61"/>
      <c r="M9" s="67"/>
      <c r="N9" s="61"/>
      <c r="O9" s="62" t="s">
        <v>20</v>
      </c>
      <c r="P9" s="92">
        <f>(P8)</f>
        <v>0.27118644067796605</v>
      </c>
      <c r="Q9" s="66"/>
      <c r="R9" s="85"/>
      <c r="S9" s="93" t="s">
        <v>73</v>
      </c>
      <c r="T9" s="145">
        <f>T10*1000/$E$8</f>
        <v>131.6</v>
      </c>
      <c r="U9" s="94" t="s">
        <v>99</v>
      </c>
      <c r="V9" s="32"/>
      <c r="W9" s="41"/>
      <c r="Y9" s="180" t="s">
        <v>98</v>
      </c>
      <c r="Z9" s="202">
        <f>ERF(MAX(MIN($Z$8*$P$2*($P$9+1)/(SQRT(8)*$T$9),10),-10))+ERF(MAX(MIN($Z$8*$P$2*(1-$P$9)/(SQRT(8)*$T$9),10),-10))-1</f>
        <v>0.9634470577655052</v>
      </c>
      <c r="AA9" s="181" t="s">
        <v>77</v>
      </c>
      <c r="AB9" s="61"/>
      <c r="AC9" s="1"/>
      <c r="AD9" s="1"/>
      <c r="AE9" s="1"/>
      <c r="AF9" s="1"/>
    </row>
    <row r="10" spans="1:32" ht="15" customHeight="1">
      <c r="A10" s="62" t="s">
        <v>21</v>
      </c>
      <c r="B10" s="83">
        <v>1</v>
      </c>
      <c r="C10" s="73"/>
      <c r="D10" s="65" t="s">
        <v>68</v>
      </c>
      <c r="E10" s="83">
        <v>2</v>
      </c>
      <c r="F10" s="73"/>
      <c r="G10" s="62"/>
      <c r="H10" s="61"/>
      <c r="I10" s="62" t="s">
        <v>26</v>
      </c>
      <c r="J10" s="119">
        <v>7</v>
      </c>
      <c r="K10" s="61"/>
      <c r="L10" s="61"/>
      <c r="M10" s="67"/>
      <c r="N10" s="61"/>
      <c r="O10" s="62" t="s">
        <v>23</v>
      </c>
      <c r="P10" s="49">
        <f>S35-$T$6</f>
        <v>2.53083503567629</v>
      </c>
      <c r="Q10" s="67" t="s">
        <v>24</v>
      </c>
      <c r="R10" s="85"/>
      <c r="S10" s="211" t="s">
        <v>171</v>
      </c>
      <c r="T10" s="247">
        <v>329</v>
      </c>
      <c r="U10" s="248" t="s">
        <v>103</v>
      </c>
      <c r="V10" s="73"/>
      <c r="W10" s="106" t="s">
        <v>25</v>
      </c>
      <c r="X10" s="66"/>
      <c r="Y10" s="61"/>
      <c r="Z10" s="73"/>
      <c r="AA10" s="158"/>
      <c r="AB10" s="61"/>
      <c r="AC10" s="1"/>
      <c r="AD10" s="1"/>
      <c r="AE10" s="1"/>
      <c r="AF10" s="1"/>
    </row>
    <row r="11" spans="1:32" ht="15" customHeight="1">
      <c r="A11" s="32"/>
      <c r="B11" s="32"/>
      <c r="C11" s="32"/>
      <c r="D11" s="33"/>
      <c r="E11" s="33"/>
      <c r="F11" s="33"/>
      <c r="G11" s="33"/>
      <c r="H11" s="33"/>
      <c r="I11" s="34" t="s">
        <v>75</v>
      </c>
      <c r="J11" s="35">
        <v>0</v>
      </c>
      <c r="K11" s="36" t="s">
        <v>66</v>
      </c>
      <c r="L11" s="37"/>
      <c r="M11" s="37"/>
      <c r="N11" s="33"/>
      <c r="O11" s="38" t="s">
        <v>62</v>
      </c>
      <c r="P11" s="39">
        <f>10*LOG10(1/SQRT(1-($J$6*J11)^2))</f>
        <v>0</v>
      </c>
      <c r="Q11" s="36" t="s">
        <v>63</v>
      </c>
      <c r="R11" s="57"/>
      <c r="S11" s="38" t="s">
        <v>61</v>
      </c>
      <c r="T11" s="40">
        <f>10*LOG10(1/SQRT(1-($J$6*$J$11/$Z$9)^2))</f>
        <v>0</v>
      </c>
      <c r="U11" s="249" t="s">
        <v>63</v>
      </c>
      <c r="V11" s="73"/>
      <c r="W11" s="95" t="s">
        <v>27</v>
      </c>
      <c r="X11" s="6" t="s">
        <v>28</v>
      </c>
      <c r="Y11" s="12" t="s">
        <v>34</v>
      </c>
      <c r="Z11" s="12" t="s">
        <v>29</v>
      </c>
      <c r="AA11" s="159" t="s">
        <v>78</v>
      </c>
      <c r="AB11" s="61"/>
      <c r="AC11" s="1"/>
      <c r="AD11" s="1"/>
      <c r="AE11" s="1"/>
      <c r="AF11" s="1"/>
    </row>
    <row r="12" spans="1:35" ht="15" customHeight="1">
      <c r="A12" s="123" t="s">
        <v>88</v>
      </c>
      <c r="B12" s="66" t="s">
        <v>57</v>
      </c>
      <c r="C12" s="66" t="s">
        <v>36</v>
      </c>
      <c r="D12" s="72" t="s">
        <v>80</v>
      </c>
      <c r="E12" s="72" t="s">
        <v>81</v>
      </c>
      <c r="F12" s="73" t="s">
        <v>82</v>
      </c>
      <c r="G12" s="73" t="s">
        <v>83</v>
      </c>
      <c r="H12" s="64" t="s">
        <v>37</v>
      </c>
      <c r="I12" s="65" t="s">
        <v>38</v>
      </c>
      <c r="J12" s="66" t="s">
        <v>39</v>
      </c>
      <c r="K12" s="67" t="s">
        <v>40</v>
      </c>
      <c r="L12" s="65" t="s">
        <v>41</v>
      </c>
      <c r="M12" s="65" t="s">
        <v>42</v>
      </c>
      <c r="N12" s="65" t="s">
        <v>43</v>
      </c>
      <c r="O12" s="68" t="s">
        <v>79</v>
      </c>
      <c r="P12" s="65" t="s">
        <v>44</v>
      </c>
      <c r="Q12" s="65" t="s">
        <v>45</v>
      </c>
      <c r="R12" s="69" t="s">
        <v>46</v>
      </c>
      <c r="S12" s="70" t="s">
        <v>48</v>
      </c>
      <c r="T12" s="68" t="s">
        <v>49</v>
      </c>
      <c r="U12" s="67" t="s">
        <v>50</v>
      </c>
      <c r="V12" s="71" t="s">
        <v>33</v>
      </c>
      <c r="W12" s="243" t="s">
        <v>32</v>
      </c>
      <c r="X12" s="6" t="s">
        <v>33</v>
      </c>
      <c r="Y12" s="10" t="s">
        <v>89</v>
      </c>
      <c r="Z12" s="6" t="s">
        <v>35</v>
      </c>
      <c r="AA12" s="159" t="s">
        <v>65</v>
      </c>
      <c r="AB12" s="66" t="s">
        <v>47</v>
      </c>
      <c r="AC12" s="165" t="s">
        <v>136</v>
      </c>
      <c r="AD12" s="1"/>
      <c r="AE12" s="153" t="s">
        <v>113</v>
      </c>
      <c r="AF12" s="182" t="s">
        <v>130</v>
      </c>
      <c r="AG12" s="189" t="s">
        <v>131</v>
      </c>
      <c r="AH12" s="166" t="s">
        <v>132</v>
      </c>
      <c r="AI12" s="166" t="s">
        <v>133</v>
      </c>
    </row>
    <row r="13" spans="1:35" s="33" customFormat="1" ht="15" customHeight="1">
      <c r="A13" s="124" t="s">
        <v>87</v>
      </c>
      <c r="B13" s="42" t="s">
        <v>58</v>
      </c>
      <c r="C13" s="42" t="s">
        <v>58</v>
      </c>
      <c r="D13" s="43" t="s">
        <v>84</v>
      </c>
      <c r="E13" s="43" t="s">
        <v>84</v>
      </c>
      <c r="F13" s="32" t="s">
        <v>109</v>
      </c>
      <c r="G13" s="32" t="s">
        <v>109</v>
      </c>
      <c r="H13" s="44" t="s">
        <v>30</v>
      </c>
      <c r="I13" s="45" t="s">
        <v>30</v>
      </c>
      <c r="J13" s="32"/>
      <c r="K13" s="46"/>
      <c r="L13" s="45" t="s">
        <v>30</v>
      </c>
      <c r="M13" s="45"/>
      <c r="N13" s="45" t="s">
        <v>30</v>
      </c>
      <c r="O13" s="45" t="s">
        <v>30</v>
      </c>
      <c r="P13" s="45" t="s">
        <v>30</v>
      </c>
      <c r="Q13" s="45" t="s">
        <v>30</v>
      </c>
      <c r="R13" s="58" t="s">
        <v>30</v>
      </c>
      <c r="S13" s="46" t="s">
        <v>30</v>
      </c>
      <c r="T13" s="47" t="s">
        <v>30</v>
      </c>
      <c r="U13" s="47" t="s">
        <v>31</v>
      </c>
      <c r="V13" s="48" t="s">
        <v>30</v>
      </c>
      <c r="W13" s="96" t="s">
        <v>51</v>
      </c>
      <c r="X13" s="42" t="s">
        <v>52</v>
      </c>
      <c r="Y13" s="42" t="s">
        <v>30</v>
      </c>
      <c r="Z13" s="42" t="s">
        <v>53</v>
      </c>
      <c r="AA13" s="160" t="s">
        <v>64</v>
      </c>
      <c r="AB13" s="42" t="s">
        <v>30</v>
      </c>
      <c r="AC13" s="139" t="s">
        <v>135</v>
      </c>
      <c r="AD13" s="140" t="s">
        <v>106</v>
      </c>
      <c r="AE13" s="140" t="s">
        <v>134</v>
      </c>
      <c r="AF13" s="183" t="s">
        <v>64</v>
      </c>
      <c r="AG13" s="190" t="s">
        <v>64</v>
      </c>
      <c r="AH13" s="190" t="s">
        <v>64</v>
      </c>
      <c r="AI13" s="190" t="s">
        <v>64</v>
      </c>
    </row>
    <row r="14" spans="1:35" s="117" customFormat="1" ht="15" customHeight="1">
      <c r="A14" s="125">
        <v>0.002</v>
      </c>
      <c r="B14" s="110">
        <f aca="true" t="shared" si="0" ref="B14:B35">0.25*$E$4*$B$4*(1-($E$5/$B$4)^4)</f>
        <v>-5.833412074304454</v>
      </c>
      <c r="C14" s="132">
        <f aca="true" t="shared" si="1" ref="C14:C35">0.7*$E$4*$B$5</f>
        <v>0.04774</v>
      </c>
      <c r="D14" s="111">
        <f aca="true" t="shared" si="2" ref="D14:D35">(0.187/(A14*$B$5))*(10^6/SQRT(B14^2+C14^2))</f>
        <v>25851319.902596306</v>
      </c>
      <c r="E14" s="111">
        <f aca="true" t="shared" si="3" ref="E14:E35">$E$3/A14</f>
        <v>250000</v>
      </c>
      <c r="F14" s="147">
        <f>SQRT(($J$5/D14)^2+($J$5/E14)^2+$P$4^2)</f>
        <v>151.80000001214344</v>
      </c>
      <c r="G14" s="147">
        <f aca="true" t="shared" si="4" ref="G14:G35">SQRT(F14^2+$T$9^2)</f>
        <v>200.9024639064607</v>
      </c>
      <c r="H14" s="112">
        <f aca="true" t="shared" si="5" ref="H14:H35">-10*LOG10(2*AG14-1)</f>
        <v>0.5539282096086118</v>
      </c>
      <c r="I14" s="110">
        <f aca="true" t="shared" si="6" ref="I14:I35">A14*$P$3*((1/(0.00094*$B$4)^4)+1.05)</f>
        <v>0.0030846994547507637</v>
      </c>
      <c r="J14" s="113">
        <f aca="true" t="shared" si="7" ref="J14:J35">(10^-6)*3.14*$E$7*B14*A14*$B$5</f>
        <v>-7.097804141409946E-05</v>
      </c>
      <c r="K14" s="110">
        <f aca="true" t="shared" si="8" ref="K14:K35">($B$9/SQRT(2))*(1-EXP(-1*J14^2))</f>
        <v>2.8498566086843993E-09</v>
      </c>
      <c r="L14" s="110">
        <f aca="true" t="shared" si="9" ref="L14:L35">10*LOG10(1/SQRT(1-($J$6*K14)^2))</f>
        <v>9.64327466553287E-16</v>
      </c>
      <c r="M14" s="110"/>
      <c r="N14" s="110"/>
      <c r="O14" s="110">
        <f aca="true" t="shared" si="10" ref="O14:O35">10*LOG10(1/SQRT(1-($J$6*$J$6*((($J$11/AA14)^2)+M14+(K14*K14)))))-$T$11-L14-N14</f>
        <v>0</v>
      </c>
      <c r="P14" s="110">
        <f aca="true" t="shared" si="11" ref="P14:P35">Y14-Z14</f>
        <v>0</v>
      </c>
      <c r="Q14" s="110">
        <f aca="true" t="shared" si="12" ref="Q14:Q35">$B$10</f>
        <v>1</v>
      </c>
      <c r="R14" s="212">
        <f aca="true" t="shared" si="13" ref="R14:R35">-10*LOG10(AA14)-H14</f>
        <v>0.3451599270825161</v>
      </c>
      <c r="S14" s="157">
        <f aca="true" t="shared" si="14" ref="S14:S35">H14+I14+L14+N14+O14+P14+Q14+R14</f>
        <v>1.9021728361458796</v>
      </c>
      <c r="T14" s="110">
        <f aca="true" t="shared" si="15" ref="T14:T35">$E$10+I14</f>
        <v>2.003084699454751</v>
      </c>
      <c r="U14" s="110">
        <f aca="true" t="shared" si="16" ref="U14:U35">S14-I14</f>
        <v>1.8990881366911287</v>
      </c>
      <c r="V14" s="115">
        <f aca="true" t="shared" si="17" ref="V14:V35">$T$6-S14</f>
        <v>4.09782716385412</v>
      </c>
      <c r="W14" s="116">
        <f aca="true" t="shared" si="18" ref="W14:W35">$J$9-T14-R14-P14</f>
        <v>-9.848244626537268</v>
      </c>
      <c r="X14" s="114"/>
      <c r="Y14" s="110">
        <f aca="true" t="shared" si="19" ref="Y14:Y35">10*LOG10((1+10^(-($B$6/10)))/(1-10^(-($B$6/10))))</f>
        <v>1.7566264497877127</v>
      </c>
      <c r="Z14" s="110">
        <f aca="true" t="shared" si="20" ref="Z14:Z35">10*LOG10((1+10^(-($J$10/10)))/(1-10^(-($J$10/10))))</f>
        <v>1.7566264497877127</v>
      </c>
      <c r="AA14" s="184">
        <f>ERF(AH14)+ERF(AI14)-1</f>
        <v>0.8130011994612869</v>
      </c>
      <c r="AB14" s="114">
        <f aca="true" t="shared" si="21" ref="AB14:AB35">$E$9-$E$10</f>
        <v>6</v>
      </c>
      <c r="AC14" s="141"/>
      <c r="AD14" s="142"/>
      <c r="AE14" s="113"/>
      <c r="AF14" s="187">
        <f aca="true" t="shared" si="22" ref="AF14:AF35">$Z$8*$P$2/(SQRT(8)*G14)</f>
        <v>1.3305780831596807</v>
      </c>
      <c r="AG14" s="191">
        <f>IF(ABS(AF14)&lt;10,SIGN(AF14)*ERF(ABS(AF14)),SIGN(AF14))</f>
        <v>0.9401261606743609</v>
      </c>
      <c r="AH14" s="197">
        <f aca="true" t="shared" si="23" ref="AH14:AH35">MAX(MIN($Z$8*$P$2*($P$9+1)/(SQRT(8)*G14),10),-10)</f>
        <v>1.6914128175758651</v>
      </c>
      <c r="AI14" s="198">
        <f aca="true" t="shared" si="24" ref="AI14:AI35">MAX(MIN($Z$8*$P$2*(1-$P$9)/(SQRT(8)*G14),10),-10)</f>
        <v>0.9697433487434961</v>
      </c>
    </row>
    <row r="15" spans="1:35" s="20" customFormat="1" ht="15" customHeight="1">
      <c r="A15" s="126">
        <f>$J$3</f>
        <v>0.2</v>
      </c>
      <c r="B15" s="97">
        <f t="shared" si="0"/>
        <v>-5.833412074304454</v>
      </c>
      <c r="C15" s="134">
        <f t="shared" si="1"/>
        <v>0.04774</v>
      </c>
      <c r="D15" s="149">
        <f t="shared" si="2"/>
        <v>258513.19902596305</v>
      </c>
      <c r="E15" s="149">
        <f t="shared" si="3"/>
        <v>2500</v>
      </c>
      <c r="F15" s="107">
        <f aca="true" t="shared" si="25" ref="F15:F35">SQRT((1000*$J$5/D15)^2+(1000*$J$5/E15)^2+$P$4^2)</f>
        <v>244.76659821401375</v>
      </c>
      <c r="G15" s="174">
        <f t="shared" si="4"/>
        <v>277.9015070150942</v>
      </c>
      <c r="H15" s="100">
        <f t="shared" si="5"/>
        <v>1.8537980764848614</v>
      </c>
      <c r="I15" s="97">
        <f t="shared" si="6"/>
        <v>0.3084699454750764</v>
      </c>
      <c r="J15" s="97">
        <f t="shared" si="7"/>
        <v>-0.0070978041414099455</v>
      </c>
      <c r="K15" s="97">
        <f t="shared" si="8"/>
        <v>2.8497848403421872E-05</v>
      </c>
      <c r="L15" s="97">
        <f t="shared" si="9"/>
        <v>8.732801135742551E-08</v>
      </c>
      <c r="M15" s="97">
        <f aca="true" t="shared" si="26" ref="M15:M35">$P$5*10^9*($J$5/G15)*10^($B$8/10)</f>
        <v>0.0012090614534945657</v>
      </c>
      <c r="N15" s="97">
        <f aca="true" t="shared" si="27" ref="N15:N35">10*LOG10(1/SQRT(1-($J$6^2)*M15))</f>
        <v>0.1340649704800982</v>
      </c>
      <c r="O15" s="97">
        <f t="shared" si="10"/>
        <v>5.5614753080579504E-09</v>
      </c>
      <c r="P15" s="97">
        <f t="shared" si="11"/>
        <v>0</v>
      </c>
      <c r="Q15" s="97">
        <f t="shared" si="12"/>
        <v>1</v>
      </c>
      <c r="R15" s="203">
        <f t="shared" si="13"/>
        <v>0.402745056071669</v>
      </c>
      <c r="S15" s="98">
        <f t="shared" si="14"/>
        <v>3.6990781414011917</v>
      </c>
      <c r="T15" s="97">
        <f t="shared" si="15"/>
        <v>2.3084699454750766</v>
      </c>
      <c r="U15" s="97">
        <f t="shared" si="16"/>
        <v>3.390608195926115</v>
      </c>
      <c r="V15" s="102">
        <f t="shared" si="17"/>
        <v>2.3009218585988083</v>
      </c>
      <c r="W15" s="103">
        <f t="shared" si="18"/>
        <v>-10.211215001546746</v>
      </c>
      <c r="X15" s="19"/>
      <c r="Y15" s="18">
        <f t="shared" si="19"/>
        <v>1.7566264497877127</v>
      </c>
      <c r="Z15" s="18">
        <f t="shared" si="20"/>
        <v>1.7566264497877127</v>
      </c>
      <c r="AA15" s="215">
        <f>ERF(AH15)+ERF(AI15)-1</f>
        <v>0.5947653875275127</v>
      </c>
      <c r="AB15" s="101">
        <f t="shared" si="21"/>
        <v>6</v>
      </c>
      <c r="AC15" s="192">
        <f aca="true" t="shared" si="28" ref="AC15:AC35">$J$2</f>
        <v>0.3</v>
      </c>
      <c r="AD15" s="194">
        <v>0</v>
      </c>
      <c r="AE15" s="207">
        <f aca="true" t="shared" si="29" ref="AE15:AE35">IF(A15=$J$2,V15,0)</f>
        <v>0</v>
      </c>
      <c r="AF15" s="161">
        <f t="shared" si="22"/>
        <v>0.9619106358865342</v>
      </c>
      <c r="AG15" s="185">
        <f>IF(ABS(AF15)&lt;10,SIGN(AF15)*ERF(ABS(AF15)),SIGN(AF15))</f>
        <v>0.8262798069585521</v>
      </c>
      <c r="AH15" s="200">
        <f t="shared" si="23"/>
        <v>1.2227677574828824</v>
      </c>
      <c r="AI15" s="201">
        <f t="shared" si="24"/>
        <v>0.701053514290186</v>
      </c>
    </row>
    <row r="16" spans="1:35" s="26" customFormat="1" ht="15" customHeight="1">
      <c r="A16" s="127">
        <f aca="true" t="shared" si="30" ref="A16:A35">A15+$J$4</f>
        <v>0.21000000000000002</v>
      </c>
      <c r="B16" s="49">
        <f t="shared" si="0"/>
        <v>-5.833412074304454</v>
      </c>
      <c r="C16" s="135">
        <f t="shared" si="1"/>
        <v>0.04774</v>
      </c>
      <c r="D16" s="150">
        <f t="shared" si="2"/>
        <v>246203.0466913934</v>
      </c>
      <c r="E16" s="150">
        <f t="shared" si="3"/>
        <v>2380.9523809523807</v>
      </c>
      <c r="F16" s="108">
        <f t="shared" si="25"/>
        <v>252.36798723370137</v>
      </c>
      <c r="G16" s="108">
        <f t="shared" si="4"/>
        <v>284.6193264351345</v>
      </c>
      <c r="H16" s="50">
        <f t="shared" si="5"/>
        <v>1.9941931132570834</v>
      </c>
      <c r="I16" s="49">
        <f t="shared" si="6"/>
        <v>0.32389344274883025</v>
      </c>
      <c r="J16" s="49">
        <f t="shared" si="7"/>
        <v>-0.007452694348480443</v>
      </c>
      <c r="K16" s="49">
        <f t="shared" si="8"/>
        <v>3.1418796744703324E-05</v>
      </c>
      <c r="L16" s="49">
        <f t="shared" si="9"/>
        <v>1.0614719606965294E-07</v>
      </c>
      <c r="M16" s="49">
        <f t="shared" si="26"/>
        <v>0.0011805241907090777</v>
      </c>
      <c r="N16" s="49">
        <f t="shared" si="27"/>
        <v>0.13080338678741937</v>
      </c>
      <c r="O16" s="49">
        <f t="shared" si="10"/>
        <v>6.590512857673758E-09</v>
      </c>
      <c r="P16" s="49">
        <f t="shared" si="11"/>
        <v>0</v>
      </c>
      <c r="Q16" s="49">
        <f t="shared" si="12"/>
        <v>1</v>
      </c>
      <c r="R16" s="206">
        <f t="shared" si="13"/>
        <v>0.4042369879323142</v>
      </c>
      <c r="S16" s="53">
        <f t="shared" si="14"/>
        <v>3.8531270434633558</v>
      </c>
      <c r="T16" s="49">
        <f t="shared" si="15"/>
        <v>2.3238934427488305</v>
      </c>
      <c r="U16" s="49">
        <f t="shared" si="16"/>
        <v>3.5292336007145257</v>
      </c>
      <c r="V16" s="54">
        <f t="shared" si="17"/>
        <v>2.1468729565366442</v>
      </c>
      <c r="W16" s="99">
        <f t="shared" si="18"/>
        <v>-10.228130430681144</v>
      </c>
      <c r="X16" s="25">
        <f aca="true" t="shared" si="31" ref="X16:X34">(V17-V15)/2</f>
        <v>-0.157742359553956</v>
      </c>
      <c r="Y16" s="23">
        <f t="shared" si="19"/>
        <v>1.7566264497877127</v>
      </c>
      <c r="Z16" s="23">
        <f t="shared" si="20"/>
        <v>1.7566264497877127</v>
      </c>
      <c r="AA16" s="214">
        <f>ERF(AH16)+ERF(AI16)-1</f>
        <v>0.5756479864395585</v>
      </c>
      <c r="AB16" s="52">
        <f t="shared" si="21"/>
        <v>6</v>
      </c>
      <c r="AC16" s="143">
        <f t="shared" si="28"/>
        <v>0.3</v>
      </c>
      <c r="AD16" s="144">
        <f aca="true" t="shared" si="32" ref="AD16:AD34">AD17</f>
        <v>7.9</v>
      </c>
      <c r="AE16" s="208">
        <f t="shared" si="29"/>
        <v>0</v>
      </c>
      <c r="AF16" s="162">
        <f t="shared" si="22"/>
        <v>0.9392068299607811</v>
      </c>
      <c r="AG16" s="186">
        <f>IF(ABS(AF16)&lt;10,SIGN(AF16)*ERF(ABS(AF16)),SIGN(AF16))</f>
        <v>0.8159007761989818</v>
      </c>
      <c r="AH16" s="202">
        <f t="shared" si="23"/>
        <v>1.193906987238281</v>
      </c>
      <c r="AI16" s="202">
        <f t="shared" si="24"/>
        <v>0.6845066726832811</v>
      </c>
    </row>
    <row r="17" spans="1:35" s="26" customFormat="1" ht="15" customHeight="1">
      <c r="A17" s="127">
        <f t="shared" si="30"/>
        <v>0.22000000000000003</v>
      </c>
      <c r="B17" s="49">
        <f t="shared" si="0"/>
        <v>-5.833412074304454</v>
      </c>
      <c r="C17" s="135">
        <f t="shared" si="1"/>
        <v>0.04774</v>
      </c>
      <c r="D17" s="150">
        <f t="shared" si="2"/>
        <v>235011.99911451185</v>
      </c>
      <c r="E17" s="150">
        <f t="shared" si="3"/>
        <v>2272.7272727272725</v>
      </c>
      <c r="F17" s="108">
        <f t="shared" si="25"/>
        <v>260.1016178295036</v>
      </c>
      <c r="G17" s="108">
        <f t="shared" si="4"/>
        <v>291.49856191330537</v>
      </c>
      <c r="H17" s="50">
        <f t="shared" si="5"/>
        <v>2.141977492609302</v>
      </c>
      <c r="I17" s="49">
        <f t="shared" si="6"/>
        <v>0.33931694002258406</v>
      </c>
      <c r="J17" s="49">
        <f t="shared" si="7"/>
        <v>-0.0078075845555509405</v>
      </c>
      <c r="K17" s="49">
        <f t="shared" si="8"/>
        <v>3.44822141661328E-05</v>
      </c>
      <c r="L17" s="49">
        <f t="shared" si="9"/>
        <v>1.2785558960251804E-07</v>
      </c>
      <c r="M17" s="49">
        <f t="shared" si="26"/>
        <v>0.0011526643486492734</v>
      </c>
      <c r="N17" s="49">
        <f t="shared" si="27"/>
        <v>0.12762394584683273</v>
      </c>
      <c r="O17" s="49">
        <f t="shared" si="10"/>
        <v>7.73967145928367E-09</v>
      </c>
      <c r="P17" s="49">
        <f t="shared" si="11"/>
        <v>0</v>
      </c>
      <c r="Q17" s="49">
        <f t="shared" si="12"/>
        <v>1</v>
      </c>
      <c r="R17" s="206">
        <f t="shared" si="13"/>
        <v>0.40564434643512426</v>
      </c>
      <c r="S17" s="53">
        <f t="shared" si="14"/>
        <v>4.014562860509104</v>
      </c>
      <c r="T17" s="49">
        <f t="shared" si="15"/>
        <v>2.339316940022584</v>
      </c>
      <c r="U17" s="49">
        <f t="shared" si="16"/>
        <v>3.6752459204865198</v>
      </c>
      <c r="V17" s="54">
        <f t="shared" si="17"/>
        <v>1.9854371394908963</v>
      </c>
      <c r="W17" s="99">
        <f t="shared" si="18"/>
        <v>-10.244961286457709</v>
      </c>
      <c r="X17" s="25">
        <f t="shared" si="31"/>
        <v>-0.16517328804888476</v>
      </c>
      <c r="Y17" s="23">
        <f t="shared" si="19"/>
        <v>1.7566264497877127</v>
      </c>
      <c r="Z17" s="23">
        <f t="shared" si="20"/>
        <v>1.7566264497877127</v>
      </c>
      <c r="AA17" s="214">
        <f>ERF(AH17)+ERF(AI17)-1</f>
        <v>0.5562087492423711</v>
      </c>
      <c r="AB17" s="52">
        <f t="shared" si="21"/>
        <v>6</v>
      </c>
      <c r="AC17" s="143">
        <f t="shared" si="28"/>
        <v>0.3</v>
      </c>
      <c r="AD17" s="144">
        <f t="shared" si="32"/>
        <v>7.9</v>
      </c>
      <c r="AE17" s="208">
        <f t="shared" si="29"/>
        <v>0</v>
      </c>
      <c r="AF17" s="162">
        <f t="shared" si="22"/>
        <v>0.9170419695113899</v>
      </c>
      <c r="AG17" s="186">
        <f>IF(ABS(AF17)&lt;10,SIGN(AF17)*ERF(ABS(AF17)),SIGN(AF17))</f>
        <v>0.8053319526237253</v>
      </c>
      <c r="AH17" s="202">
        <f t="shared" si="23"/>
        <v>1.1657313171754955</v>
      </c>
      <c r="AI17" s="202">
        <f t="shared" si="24"/>
        <v>0.6683526218472843</v>
      </c>
    </row>
    <row r="18" spans="1:35" s="26" customFormat="1" ht="15" customHeight="1">
      <c r="A18" s="127">
        <f t="shared" si="30"/>
        <v>0.23000000000000004</v>
      </c>
      <c r="B18" s="49">
        <f t="shared" si="0"/>
        <v>-5.833412074304454</v>
      </c>
      <c r="C18" s="135">
        <f t="shared" si="1"/>
        <v>0.04774</v>
      </c>
      <c r="D18" s="150">
        <f t="shared" si="2"/>
        <v>224794.08610953306</v>
      </c>
      <c r="E18" s="150">
        <f t="shared" si="3"/>
        <v>2173.9130434782605</v>
      </c>
      <c r="F18" s="108">
        <f t="shared" si="25"/>
        <v>267.9560401496241</v>
      </c>
      <c r="G18" s="108">
        <f t="shared" si="4"/>
        <v>298.52805471624765</v>
      </c>
      <c r="H18" s="50">
        <f t="shared" si="5"/>
        <v>2.2971679498196744</v>
      </c>
      <c r="I18" s="49">
        <f t="shared" si="6"/>
        <v>0.3547404372963379</v>
      </c>
      <c r="J18" s="49">
        <f t="shared" si="7"/>
        <v>-0.008162474762621438</v>
      </c>
      <c r="K18" s="49">
        <f t="shared" si="8"/>
        <v>3.7688098352765984E-05</v>
      </c>
      <c r="L18" s="49">
        <f t="shared" si="9"/>
        <v>1.5273475816514137E-07</v>
      </c>
      <c r="M18" s="49">
        <f t="shared" si="26"/>
        <v>0.0011255223577541803</v>
      </c>
      <c r="N18" s="49">
        <f t="shared" si="27"/>
        <v>0.1245308985151837</v>
      </c>
      <c r="O18" s="49">
        <f t="shared" si="10"/>
        <v>9.015157870218005E-09</v>
      </c>
      <c r="P18" s="49">
        <f t="shared" si="11"/>
        <v>0</v>
      </c>
      <c r="Q18" s="49">
        <f t="shared" si="12"/>
        <v>1</v>
      </c>
      <c r="R18" s="206">
        <f t="shared" si="13"/>
        <v>0.40703417218001325</v>
      </c>
      <c r="S18" s="53">
        <f t="shared" si="14"/>
        <v>4.183473619561125</v>
      </c>
      <c r="T18" s="49">
        <f t="shared" si="15"/>
        <v>2.354740437296338</v>
      </c>
      <c r="U18" s="49">
        <f t="shared" si="16"/>
        <v>3.8287331822647874</v>
      </c>
      <c r="V18" s="54">
        <f t="shared" si="17"/>
        <v>1.8165263804388747</v>
      </c>
      <c r="W18" s="99">
        <f t="shared" si="18"/>
        <v>-10.261774609476351</v>
      </c>
      <c r="X18" s="25">
        <f t="shared" si="31"/>
        <v>-0.17270516454588503</v>
      </c>
      <c r="Y18" s="23">
        <f t="shared" si="19"/>
        <v>1.7566264497877127</v>
      </c>
      <c r="Z18" s="23">
        <f t="shared" si="20"/>
        <v>1.7566264497877127</v>
      </c>
      <c r="AA18" s="214">
        <f>ERF(AH18)+ERF(AI18)-1</f>
        <v>0.5365124294838277</v>
      </c>
      <c r="AB18" s="52">
        <f t="shared" si="21"/>
        <v>6</v>
      </c>
      <c r="AC18" s="143">
        <f t="shared" si="28"/>
        <v>0.3</v>
      </c>
      <c r="AD18" s="144">
        <f t="shared" si="32"/>
        <v>7.9</v>
      </c>
      <c r="AE18" s="208">
        <f t="shared" si="29"/>
        <v>0</v>
      </c>
      <c r="AF18" s="162">
        <f t="shared" si="22"/>
        <v>0.895448220371787</v>
      </c>
      <c r="AG18" s="186">
        <f>IF(ABS(AF18)&lt;10,SIGN(AF18)*ERF(ABS(AF18)),SIGN(AF18))</f>
        <v>0.794613883840539</v>
      </c>
      <c r="AH18" s="202">
        <f t="shared" si="23"/>
        <v>1.1382816360658308</v>
      </c>
      <c r="AI18" s="202">
        <f t="shared" si="24"/>
        <v>0.652614804677743</v>
      </c>
    </row>
    <row r="19" spans="1:35" s="26" customFormat="1" ht="15" customHeight="1">
      <c r="A19" s="127">
        <f t="shared" si="30"/>
        <v>0.24000000000000005</v>
      </c>
      <c r="B19" s="49">
        <f t="shared" si="0"/>
        <v>-5.833412074304454</v>
      </c>
      <c r="C19" s="135">
        <f t="shared" si="1"/>
        <v>0.04774</v>
      </c>
      <c r="D19" s="150">
        <f t="shared" si="2"/>
        <v>215427.6658549692</v>
      </c>
      <c r="E19" s="150">
        <f t="shared" si="3"/>
        <v>2083.333333333333</v>
      </c>
      <c r="F19" s="108">
        <f t="shared" si="25"/>
        <v>275.92093894051436</v>
      </c>
      <c r="G19" s="108">
        <f t="shared" si="4"/>
        <v>305.69743954736526</v>
      </c>
      <c r="H19" s="50">
        <f t="shared" si="5"/>
        <v>2.4598059818566727</v>
      </c>
      <c r="I19" s="49">
        <f t="shared" si="6"/>
        <v>0.3701639345700917</v>
      </c>
      <c r="J19" s="49">
        <f t="shared" si="7"/>
        <v>-0.008517364969691936</v>
      </c>
      <c r="K19" s="49">
        <f t="shared" si="8"/>
        <v>4.1036446882075816E-05</v>
      </c>
      <c r="L19" s="49">
        <f t="shared" si="9"/>
        <v>1.8107935387681498E-07</v>
      </c>
      <c r="M19" s="49">
        <f t="shared" si="26"/>
        <v>0.001099125987111644</v>
      </c>
      <c r="N19" s="49">
        <f t="shared" si="27"/>
        <v>0.12152704054146797</v>
      </c>
      <c r="O19" s="49">
        <f t="shared" si="10"/>
        <v>1.0423101215462083E-08</v>
      </c>
      <c r="P19" s="49">
        <f t="shared" si="11"/>
        <v>0</v>
      </c>
      <c r="Q19" s="49">
        <f t="shared" si="12"/>
        <v>1</v>
      </c>
      <c r="R19" s="206">
        <f t="shared" si="13"/>
        <v>0.4084760411301862</v>
      </c>
      <c r="S19" s="53">
        <f t="shared" si="14"/>
        <v>4.359973189600874</v>
      </c>
      <c r="T19" s="49">
        <f t="shared" si="15"/>
        <v>2.370163934570092</v>
      </c>
      <c r="U19" s="49">
        <f t="shared" si="16"/>
        <v>3.989809255030782</v>
      </c>
      <c r="V19" s="54">
        <f t="shared" si="17"/>
        <v>1.6400268103991262</v>
      </c>
      <c r="W19" s="99">
        <f t="shared" si="18"/>
        <v>-10.278639975700278</v>
      </c>
      <c r="X19" s="25">
        <f t="shared" si="31"/>
        <v>-0.18036611475142328</v>
      </c>
      <c r="Y19" s="23">
        <f t="shared" si="19"/>
        <v>1.7566264497877127</v>
      </c>
      <c r="Z19" s="23">
        <f t="shared" si="20"/>
        <v>1.7566264497877127</v>
      </c>
      <c r="AA19" s="214">
        <f>ERF(AH19)+ERF(AI19)-1</f>
        <v>0.5166206930636024</v>
      </c>
      <c r="AB19" s="52">
        <f t="shared" si="21"/>
        <v>6</v>
      </c>
      <c r="AC19" s="143">
        <f t="shared" si="28"/>
        <v>0.3</v>
      </c>
      <c r="AD19" s="144">
        <f t="shared" si="32"/>
        <v>7.9</v>
      </c>
      <c r="AE19" s="208">
        <f t="shared" si="29"/>
        <v>0</v>
      </c>
      <c r="AF19" s="162">
        <f t="shared" si="22"/>
        <v>0.8744476751997687</v>
      </c>
      <c r="AG19" s="186">
        <f>IF(ABS(AF19)&lt;10,SIGN(AF19)*ERF(ABS(AF19)),SIGN(AF19))</f>
        <v>0.7837849803245123</v>
      </c>
      <c r="AH19" s="202">
        <f t="shared" si="23"/>
        <v>1.111586027796316</v>
      </c>
      <c r="AI19" s="202">
        <f t="shared" si="24"/>
        <v>0.6373093226032214</v>
      </c>
    </row>
    <row r="20" spans="1:35" s="20" customFormat="1" ht="15" customHeight="1">
      <c r="A20" s="126">
        <f t="shared" si="30"/>
        <v>0.25000000000000006</v>
      </c>
      <c r="B20" s="97">
        <f t="shared" si="0"/>
        <v>-5.833412074304454</v>
      </c>
      <c r="C20" s="134">
        <f t="shared" si="1"/>
        <v>0.04774</v>
      </c>
      <c r="D20" s="149">
        <f t="shared" si="2"/>
        <v>206810.55922077043</v>
      </c>
      <c r="E20" s="149">
        <f t="shared" si="3"/>
        <v>1999.9999999999995</v>
      </c>
      <c r="F20" s="107">
        <f t="shared" si="25"/>
        <v>283.98701885292127</v>
      </c>
      <c r="G20" s="107">
        <f t="shared" si="4"/>
        <v>312.99710362393046</v>
      </c>
      <c r="H20" s="100">
        <f t="shared" si="5"/>
        <v>2.6299617232565464</v>
      </c>
      <c r="I20" s="97">
        <f t="shared" si="6"/>
        <v>0.3855874318438456</v>
      </c>
      <c r="J20" s="97">
        <f t="shared" si="7"/>
        <v>-0.008872255176762434</v>
      </c>
      <c r="K20" s="97">
        <f t="shared" si="8"/>
        <v>4.452725722395251E-05</v>
      </c>
      <c r="L20" s="97">
        <f t="shared" si="9"/>
        <v>2.1319711669302684E-07</v>
      </c>
      <c r="M20" s="97">
        <f t="shared" si="26"/>
        <v>0.0010734923617814298</v>
      </c>
      <c r="N20" s="97">
        <f t="shared" si="27"/>
        <v>0.11861395312828914</v>
      </c>
      <c r="O20" s="97">
        <f t="shared" si="10"/>
        <v>1.1969560564928372E-08</v>
      </c>
      <c r="P20" s="97">
        <f t="shared" si="11"/>
        <v>0</v>
      </c>
      <c r="Q20" s="97">
        <f t="shared" si="12"/>
        <v>1</v>
      </c>
      <c r="R20" s="205">
        <f t="shared" si="13"/>
        <v>0.4100425156686134</v>
      </c>
      <c r="S20" s="98">
        <f t="shared" si="14"/>
        <v>4.544205849063972</v>
      </c>
      <c r="T20" s="97">
        <f t="shared" si="15"/>
        <v>2.3855874318438457</v>
      </c>
      <c r="U20" s="97">
        <f t="shared" si="16"/>
        <v>4.158618417220127</v>
      </c>
      <c r="V20" s="102">
        <f t="shared" si="17"/>
        <v>1.4557941509360282</v>
      </c>
      <c r="W20" s="103">
        <f t="shared" si="18"/>
        <v>-10.29562994751246</v>
      </c>
      <c r="X20" s="27">
        <f t="shared" si="31"/>
        <v>-0.18819018139002885</v>
      </c>
      <c r="Y20" s="18">
        <f t="shared" si="19"/>
        <v>1.7566264497877127</v>
      </c>
      <c r="Z20" s="18">
        <f t="shared" si="20"/>
        <v>1.7566264497877127</v>
      </c>
      <c r="AA20" s="216">
        <f>ERF(AH20)+ERF(AI20)-1</f>
        <v>0.4965918367523383</v>
      </c>
      <c r="AB20" s="101">
        <f t="shared" si="21"/>
        <v>6</v>
      </c>
      <c r="AC20" s="192">
        <f t="shared" si="28"/>
        <v>0.3</v>
      </c>
      <c r="AD20" s="193">
        <f t="shared" si="32"/>
        <v>7.9</v>
      </c>
      <c r="AE20" s="207">
        <f t="shared" si="29"/>
        <v>0</v>
      </c>
      <c r="AF20" s="161">
        <f t="shared" si="22"/>
        <v>0.8540539584286349</v>
      </c>
      <c r="AG20" s="185">
        <f>IF(ABS(AF20)&lt;10,SIGN(AF20)*ERF(ABS(AF20)),SIGN(AF20))</f>
        <v>0.7728813355872103</v>
      </c>
      <c r="AH20" s="200">
        <f t="shared" si="23"/>
        <v>1.085661811561824</v>
      </c>
      <c r="AI20" s="200">
        <f t="shared" si="24"/>
        <v>0.6224461052954458</v>
      </c>
    </row>
    <row r="21" spans="1:35" s="26" customFormat="1" ht="15" customHeight="1">
      <c r="A21" s="127">
        <f t="shared" si="30"/>
        <v>0.26000000000000006</v>
      </c>
      <c r="B21" s="49">
        <f t="shared" si="0"/>
        <v>-5.833412074304454</v>
      </c>
      <c r="C21" s="135">
        <f t="shared" si="1"/>
        <v>0.04774</v>
      </c>
      <c r="D21" s="150">
        <f t="shared" si="2"/>
        <v>198856.3069430485</v>
      </c>
      <c r="E21" s="150">
        <f t="shared" si="3"/>
        <v>1923.0769230769226</v>
      </c>
      <c r="F21" s="108">
        <f t="shared" si="25"/>
        <v>292.1458992457881</v>
      </c>
      <c r="G21" s="108">
        <f t="shared" si="4"/>
        <v>320.41814312883434</v>
      </c>
      <c r="H21" s="50">
        <f t="shared" si="5"/>
        <v>2.8077412042002785</v>
      </c>
      <c r="I21" s="49">
        <f t="shared" si="6"/>
        <v>0.4010109291175994</v>
      </c>
      <c r="J21" s="49">
        <f t="shared" si="7"/>
        <v>-0.00922714538383293</v>
      </c>
      <c r="K21" s="49">
        <f t="shared" si="8"/>
        <v>4.816052674057792E-05</v>
      </c>
      <c r="L21" s="49">
        <f t="shared" si="9"/>
        <v>2.494088724738096E-07</v>
      </c>
      <c r="M21" s="49">
        <f t="shared" si="26"/>
        <v>0.0010486297583495465</v>
      </c>
      <c r="N21" s="49">
        <f t="shared" si="27"/>
        <v>0.11579221564757104</v>
      </c>
      <c r="O21" s="49">
        <f t="shared" si="10"/>
        <v>1.3660533385029261E-08</v>
      </c>
      <c r="P21" s="49">
        <f t="shared" si="11"/>
        <v>0</v>
      </c>
      <c r="Q21" s="49">
        <f t="shared" si="12"/>
        <v>1</v>
      </c>
      <c r="R21" s="206">
        <f t="shared" si="13"/>
        <v>0.41180894034607585</v>
      </c>
      <c r="S21" s="53">
        <f t="shared" si="14"/>
        <v>4.7363535523809315</v>
      </c>
      <c r="T21" s="49">
        <f t="shared" si="15"/>
        <v>2.401010929117599</v>
      </c>
      <c r="U21" s="49">
        <f t="shared" si="16"/>
        <v>4.335342623263332</v>
      </c>
      <c r="V21" s="54">
        <f t="shared" si="17"/>
        <v>1.2636464476190685</v>
      </c>
      <c r="W21" s="99">
        <f t="shared" si="18"/>
        <v>-10.312819869463675</v>
      </c>
      <c r="X21" s="25">
        <f t="shared" si="31"/>
        <v>-0.19621759828710905</v>
      </c>
      <c r="Y21" s="23">
        <f t="shared" si="19"/>
        <v>1.7566264497877127</v>
      </c>
      <c r="Z21" s="23">
        <f t="shared" si="20"/>
        <v>1.7566264497877127</v>
      </c>
      <c r="AA21" s="214">
        <f>ERF(AH21)+ERF(AI21)-1</f>
        <v>0.47648033953432134</v>
      </c>
      <c r="AB21" s="52">
        <f t="shared" si="21"/>
        <v>6</v>
      </c>
      <c r="AC21" s="143">
        <f t="shared" si="28"/>
        <v>0.3</v>
      </c>
      <c r="AD21" s="144">
        <f t="shared" si="32"/>
        <v>7.9</v>
      </c>
      <c r="AE21" s="208">
        <f t="shared" si="29"/>
        <v>0</v>
      </c>
      <c r="AF21" s="162">
        <f t="shared" si="22"/>
        <v>0.8342736547825017</v>
      </c>
      <c r="AG21" s="186">
        <f>IF(ABS(AF21)&lt;10,SIGN(AF21)*ERF(ABS(AF21)),SIGN(AF21))</f>
        <v>0.7619364178229688</v>
      </c>
      <c r="AH21" s="202">
        <f t="shared" si="23"/>
        <v>1.0605173577743665</v>
      </c>
      <c r="AI21" s="202">
        <f t="shared" si="24"/>
        <v>0.6080299517906369</v>
      </c>
    </row>
    <row r="22" spans="1:35" s="26" customFormat="1" ht="15" customHeight="1">
      <c r="A22" s="127">
        <f t="shared" si="30"/>
        <v>0.2700000000000001</v>
      </c>
      <c r="B22" s="49">
        <f t="shared" si="0"/>
        <v>-5.833412074304454</v>
      </c>
      <c r="C22" s="135">
        <f t="shared" si="1"/>
        <v>0.04774</v>
      </c>
      <c r="D22" s="150">
        <f t="shared" si="2"/>
        <v>191491.25853775037</v>
      </c>
      <c r="E22" s="150">
        <f t="shared" si="3"/>
        <v>1851.8518518518513</v>
      </c>
      <c r="F22" s="108">
        <f t="shared" si="25"/>
        <v>300.390018564694</v>
      </c>
      <c r="G22" s="108">
        <f t="shared" si="4"/>
        <v>327.95231856673496</v>
      </c>
      <c r="H22" s="50">
        <f t="shared" si="5"/>
        <v>2.9932892943149154</v>
      </c>
      <c r="I22" s="49">
        <f t="shared" si="6"/>
        <v>0.41643442639135325</v>
      </c>
      <c r="J22" s="49">
        <f t="shared" si="7"/>
        <v>-0.009582035590903428</v>
      </c>
      <c r="K22" s="49">
        <f t="shared" si="8"/>
        <v>5.193625268642558E-05</v>
      </c>
      <c r="L22" s="49">
        <f t="shared" si="9"/>
        <v>2.900485300873638E-07</v>
      </c>
      <c r="M22" s="49">
        <f t="shared" si="26"/>
        <v>0.0010245391813920883</v>
      </c>
      <c r="N22" s="49">
        <f t="shared" si="27"/>
        <v>0.11306159121991102</v>
      </c>
      <c r="O22" s="49">
        <f t="shared" si="10"/>
        <v>1.5501962546959902E-08</v>
      </c>
      <c r="P22" s="49">
        <f t="shared" si="11"/>
        <v>0</v>
      </c>
      <c r="Q22" s="49">
        <f t="shared" si="12"/>
        <v>1</v>
      </c>
      <c r="R22" s="206">
        <f t="shared" si="13"/>
        <v>0.413855428161519</v>
      </c>
      <c r="S22" s="53">
        <f t="shared" si="14"/>
        <v>4.93664104563819</v>
      </c>
      <c r="T22" s="49">
        <f t="shared" si="15"/>
        <v>2.416434426391353</v>
      </c>
      <c r="U22" s="49">
        <f t="shared" si="16"/>
        <v>4.520206619246837</v>
      </c>
      <c r="V22" s="54">
        <f t="shared" si="17"/>
        <v>1.06335895436181</v>
      </c>
      <c r="W22" s="99">
        <f t="shared" si="18"/>
        <v>-10.330289854552872</v>
      </c>
      <c r="X22" s="25">
        <f t="shared" si="31"/>
        <v>-0.2044955393353418</v>
      </c>
      <c r="Y22" s="23">
        <f t="shared" si="19"/>
        <v>1.7566264497877127</v>
      </c>
      <c r="Z22" s="23">
        <f t="shared" si="20"/>
        <v>1.7566264497877127</v>
      </c>
      <c r="AA22" s="214">
        <f>ERF(AH22)+ERF(AI22)-1</f>
        <v>0.4563368368902323</v>
      </c>
      <c r="AB22" s="52">
        <f t="shared" si="21"/>
        <v>6</v>
      </c>
      <c r="AC22" s="143">
        <f t="shared" si="28"/>
        <v>0.3</v>
      </c>
      <c r="AD22" s="144">
        <f t="shared" si="32"/>
        <v>7.9</v>
      </c>
      <c r="AE22" s="208">
        <f t="shared" si="29"/>
        <v>0</v>
      </c>
      <c r="AF22" s="162">
        <f t="shared" si="22"/>
        <v>0.8151075634866085</v>
      </c>
      <c r="AG22" s="186">
        <f>IF(ABS(AF22)&lt;10,SIGN(AF22)*ERF(ABS(AF22)),SIGN(AF22))</f>
        <v>0.7509811326575291</v>
      </c>
      <c r="AH22" s="202">
        <f t="shared" si="23"/>
        <v>1.0361536823982311</v>
      </c>
      <c r="AI22" s="202">
        <f t="shared" si="24"/>
        <v>0.5940614445749859</v>
      </c>
    </row>
    <row r="23" spans="1:35" s="26" customFormat="1" ht="15" customHeight="1">
      <c r="A23" s="127">
        <f t="shared" si="30"/>
        <v>0.2800000000000001</v>
      </c>
      <c r="B23" s="49">
        <f t="shared" si="0"/>
        <v>-5.833412074304454</v>
      </c>
      <c r="C23" s="135">
        <f t="shared" si="1"/>
        <v>0.04774</v>
      </c>
      <c r="D23" s="150">
        <f t="shared" si="2"/>
        <v>184652.28501854496</v>
      </c>
      <c r="E23" s="150">
        <f t="shared" si="3"/>
        <v>1785.714285714285</v>
      </c>
      <c r="F23" s="108">
        <f t="shared" si="25"/>
        <v>308.7125480094233</v>
      </c>
      <c r="G23" s="108">
        <f t="shared" si="4"/>
        <v>335.59201018270755</v>
      </c>
      <c r="H23" s="50">
        <f t="shared" si="5"/>
        <v>3.1868009371899397</v>
      </c>
      <c r="I23" s="49">
        <f t="shared" si="6"/>
        <v>0.43185792366510706</v>
      </c>
      <c r="J23" s="49">
        <f t="shared" si="7"/>
        <v>-0.009936925797973926</v>
      </c>
      <c r="K23" s="49">
        <f t="shared" si="8"/>
        <v>5.585443220844908E-05</v>
      </c>
      <c r="L23" s="49">
        <f t="shared" si="9"/>
        <v>3.354630823705591E-07</v>
      </c>
      <c r="M23" s="49">
        <f t="shared" si="26"/>
        <v>0.0010012157316173003</v>
      </c>
      <c r="N23" s="49">
        <f t="shared" si="27"/>
        <v>0.11042118676921349</v>
      </c>
      <c r="O23" s="49">
        <f t="shared" si="10"/>
        <v>1.7499747706484214E-08</v>
      </c>
      <c r="P23" s="49">
        <f t="shared" si="11"/>
        <v>0</v>
      </c>
      <c r="Q23" s="49">
        <f t="shared" si="12"/>
        <v>1</v>
      </c>
      <c r="R23" s="206">
        <f t="shared" si="13"/>
        <v>0.41626423046452476</v>
      </c>
      <c r="S23" s="53">
        <f t="shared" si="14"/>
        <v>5.145344631051615</v>
      </c>
      <c r="T23" s="49">
        <f t="shared" si="15"/>
        <v>2.431857923665107</v>
      </c>
      <c r="U23" s="49">
        <f t="shared" si="16"/>
        <v>4.713486707386508</v>
      </c>
      <c r="V23" s="54">
        <f t="shared" si="17"/>
        <v>0.8546553689483849</v>
      </c>
      <c r="W23" s="99">
        <f t="shared" si="18"/>
        <v>-10.34812215412963</v>
      </c>
      <c r="X23" s="25">
        <f t="shared" si="31"/>
        <v>-0.2130794344113136</v>
      </c>
      <c r="Y23" s="23">
        <f t="shared" si="19"/>
        <v>1.7566264497877127</v>
      </c>
      <c r="Z23" s="23">
        <f t="shared" si="20"/>
        <v>1.7566264497877127</v>
      </c>
      <c r="AA23" s="214">
        <f>ERF(AH23)+ERF(AI23)-1</f>
        <v>0.4362078563825307</v>
      </c>
      <c r="AB23" s="52">
        <f t="shared" si="21"/>
        <v>6</v>
      </c>
      <c r="AC23" s="143">
        <f t="shared" si="28"/>
        <v>0.3</v>
      </c>
      <c r="AD23" s="144">
        <f t="shared" si="32"/>
        <v>7.9</v>
      </c>
      <c r="AE23" s="208">
        <f t="shared" si="29"/>
        <v>0</v>
      </c>
      <c r="AF23" s="162">
        <f t="shared" si="22"/>
        <v>0.796551786740034</v>
      </c>
      <c r="AG23" s="186">
        <f>IF(ABS(AF23)&lt;10,SIGN(AF23)*ERF(ABS(AF23)),SIGN(AF23))</f>
        <v>0.740043477981458</v>
      </c>
      <c r="AH23" s="202">
        <f t="shared" si="23"/>
        <v>1.012565830601738</v>
      </c>
      <c r="AI23" s="202">
        <f t="shared" si="24"/>
        <v>0.5805377428783299</v>
      </c>
    </row>
    <row r="24" spans="1:35" s="26" customFormat="1" ht="15" customHeight="1">
      <c r="A24" s="127">
        <f t="shared" si="30"/>
        <v>0.2900000000000001</v>
      </c>
      <c r="B24" s="49">
        <f t="shared" si="0"/>
        <v>-5.833412074304454</v>
      </c>
      <c r="C24" s="135">
        <f t="shared" si="1"/>
        <v>0.04774</v>
      </c>
      <c r="D24" s="150">
        <f t="shared" si="2"/>
        <v>178284.96484549172</v>
      </c>
      <c r="E24" s="150">
        <f t="shared" si="3"/>
        <v>1724.137931034482</v>
      </c>
      <c r="F24" s="108">
        <f t="shared" si="25"/>
        <v>317.10731398321633</v>
      </c>
      <c r="G24" s="108">
        <f t="shared" si="4"/>
        <v>343.3301742953132</v>
      </c>
      <c r="H24" s="50">
        <f t="shared" si="5"/>
        <v>3.388525133611646</v>
      </c>
      <c r="I24" s="49">
        <f t="shared" si="6"/>
        <v>0.44728142093886086</v>
      </c>
      <c r="J24" s="49">
        <f t="shared" si="7"/>
        <v>-0.010291816005044424</v>
      </c>
      <c r="K24" s="49">
        <f t="shared" si="8"/>
        <v>5.991506234595647E-05</v>
      </c>
      <c r="L24" s="49">
        <f t="shared" si="9"/>
        <v>3.8601260612463966E-07</v>
      </c>
      <c r="M24" s="49">
        <f t="shared" si="26"/>
        <v>0.0009786497813355367</v>
      </c>
      <c r="N24" s="49">
        <f t="shared" si="27"/>
        <v>0.10786958968438129</v>
      </c>
      <c r="O24" s="49">
        <f t="shared" si="10"/>
        <v>1.965974286144423E-08</v>
      </c>
      <c r="P24" s="49">
        <f t="shared" si="11"/>
        <v>0</v>
      </c>
      <c r="Q24" s="49">
        <f t="shared" si="12"/>
        <v>1</v>
      </c>
      <c r="R24" s="206">
        <f t="shared" si="13"/>
        <v>0.4191233645535797</v>
      </c>
      <c r="S24" s="53">
        <f t="shared" si="14"/>
        <v>5.362799914460817</v>
      </c>
      <c r="T24" s="49">
        <f t="shared" si="15"/>
        <v>2.447281420938861</v>
      </c>
      <c r="U24" s="49">
        <f t="shared" si="16"/>
        <v>4.915518493521956</v>
      </c>
      <c r="V24" s="54">
        <f t="shared" si="17"/>
        <v>0.6372000855391828</v>
      </c>
      <c r="W24" s="99">
        <f t="shared" si="18"/>
        <v>-10.36640478549244</v>
      </c>
      <c r="X24" s="25">
        <f t="shared" si="31"/>
        <v>-0.2220330168852418</v>
      </c>
      <c r="Y24" s="23">
        <f t="shared" si="19"/>
        <v>1.7566264497877127</v>
      </c>
      <c r="Z24" s="23">
        <f t="shared" si="20"/>
        <v>1.7566264497877127</v>
      </c>
      <c r="AA24" s="214">
        <f>ERF(AH24)+ERF(AI24)-1</f>
        <v>0.41613586764713983</v>
      </c>
      <c r="AB24" s="52">
        <f t="shared" si="21"/>
        <v>6</v>
      </c>
      <c r="AC24" s="143">
        <f t="shared" si="28"/>
        <v>0.3</v>
      </c>
      <c r="AD24" s="144">
        <f t="shared" si="32"/>
        <v>7.9</v>
      </c>
      <c r="AE24" s="208">
        <f t="shared" si="29"/>
        <v>0</v>
      </c>
      <c r="AF24" s="162">
        <f t="shared" si="22"/>
        <v>0.778598664901457</v>
      </c>
      <c r="AG24" s="186">
        <f>IF(ABS(AF24)&lt;10,SIGN(AF24)*ERF(ABS(AF24)),SIGN(AF24))</f>
        <v>0.7291487491831148</v>
      </c>
      <c r="AH24" s="202">
        <f t="shared" si="23"/>
        <v>0.9897440655526994</v>
      </c>
      <c r="AI24" s="202">
        <f t="shared" si="24"/>
        <v>0.5674532642502145</v>
      </c>
    </row>
    <row r="25" spans="1:35" s="20" customFormat="1" ht="15" customHeight="1">
      <c r="A25" s="126">
        <f t="shared" si="30"/>
        <v>0.3000000000000001</v>
      </c>
      <c r="B25" s="97">
        <f t="shared" si="0"/>
        <v>-5.833412074304454</v>
      </c>
      <c r="C25" s="134">
        <f t="shared" si="1"/>
        <v>0.04774</v>
      </c>
      <c r="D25" s="149">
        <f t="shared" si="2"/>
        <v>172342.13268397533</v>
      </c>
      <c r="E25" s="149">
        <f t="shared" si="3"/>
        <v>1666.666666666666</v>
      </c>
      <c r="F25" s="107">
        <f t="shared" si="25"/>
        <v>325.5687286930919</v>
      </c>
      <c r="G25" s="107">
        <f t="shared" si="4"/>
        <v>351.1603011486863</v>
      </c>
      <c r="H25" s="100">
        <f t="shared" si="5"/>
        <v>3.598773724353499</v>
      </c>
      <c r="I25" s="97">
        <f t="shared" si="6"/>
        <v>0.4627049182126147</v>
      </c>
      <c r="J25" s="97">
        <f t="shared" si="7"/>
        <v>-0.01064670621211492</v>
      </c>
      <c r="K25" s="97">
        <f t="shared" si="8"/>
        <v>6.411814003061026E-05</v>
      </c>
      <c r="L25" s="97">
        <f t="shared" si="9"/>
        <v>4.420702543958085E-07</v>
      </c>
      <c r="M25" s="97">
        <f t="shared" si="26"/>
        <v>0.0009568279754314619</v>
      </c>
      <c r="N25" s="97">
        <f t="shared" si="27"/>
        <v>0.1054049834638541</v>
      </c>
      <c r="O25" s="97">
        <f t="shared" si="10"/>
        <v>2.1987776308018958E-08</v>
      </c>
      <c r="P25" s="97">
        <f t="shared" si="11"/>
        <v>0</v>
      </c>
      <c r="Q25" s="97">
        <f t="shared" si="12"/>
        <v>1</v>
      </c>
      <c r="R25" s="205">
        <f t="shared" si="13"/>
        <v>0.42252657473410027</v>
      </c>
      <c r="S25" s="98">
        <f t="shared" si="14"/>
        <v>5.589410664822099</v>
      </c>
      <c r="T25" s="97">
        <f t="shared" si="15"/>
        <v>2.462704918212615</v>
      </c>
      <c r="U25" s="97">
        <f t="shared" si="16"/>
        <v>5.126705746609484</v>
      </c>
      <c r="V25" s="102">
        <f t="shared" si="17"/>
        <v>0.4105893351779013</v>
      </c>
      <c r="W25" s="103">
        <f t="shared" si="18"/>
        <v>-10.385231492946716</v>
      </c>
      <c r="X25" s="27">
        <f t="shared" si="31"/>
        <v>-0.23143120436986253</v>
      </c>
      <c r="Y25" s="18">
        <f t="shared" si="19"/>
        <v>1.7566264497877127</v>
      </c>
      <c r="Z25" s="18">
        <f t="shared" si="20"/>
        <v>1.7566264497877127</v>
      </c>
      <c r="AA25" s="216">
        <f>ERF(AH25)+ERF(AI25)-1</f>
        <v>0.39615940441857456</v>
      </c>
      <c r="AB25" s="101">
        <f t="shared" si="21"/>
        <v>6</v>
      </c>
      <c r="AC25" s="192">
        <f t="shared" si="28"/>
        <v>0.3</v>
      </c>
      <c r="AD25" s="193">
        <f t="shared" si="32"/>
        <v>7.9</v>
      </c>
      <c r="AE25" s="207">
        <f t="shared" si="29"/>
        <v>0.4105893351779013</v>
      </c>
      <c r="AF25" s="161">
        <f t="shared" si="22"/>
        <v>0.7612375728471932</v>
      </c>
      <c r="AG25" s="185">
        <f>IF(ABS(AF25)&lt;10,SIGN(AF25)*ERF(ABS(AF25)),SIGN(AF25))</f>
        <v>0.7183195522144822</v>
      </c>
      <c r="AH25" s="200">
        <f t="shared" si="23"/>
        <v>0.9676748807379574</v>
      </c>
      <c r="AI25" s="200">
        <f t="shared" si="24"/>
        <v>0.554800264956429</v>
      </c>
    </row>
    <row r="26" spans="1:35" s="26" customFormat="1" ht="15" customHeight="1">
      <c r="A26" s="127">
        <f t="shared" si="30"/>
        <v>0.3100000000000001</v>
      </c>
      <c r="B26" s="49">
        <f t="shared" si="0"/>
        <v>-5.833412074304454</v>
      </c>
      <c r="C26" s="135">
        <f t="shared" si="1"/>
        <v>0.04774</v>
      </c>
      <c r="D26" s="150">
        <f t="shared" si="2"/>
        <v>166782.70904900838</v>
      </c>
      <c r="E26" s="150">
        <f t="shared" si="3"/>
        <v>1612.903225806451</v>
      </c>
      <c r="F26" s="108">
        <f t="shared" si="25"/>
        <v>334.0917282155131</v>
      </c>
      <c r="G26" s="108">
        <f t="shared" si="4"/>
        <v>359.0763746921096</v>
      </c>
      <c r="H26" s="50">
        <f t="shared" si="5"/>
        <v>3.8179306455106934</v>
      </c>
      <c r="I26" s="49">
        <f t="shared" si="6"/>
        <v>0.47812841548636853</v>
      </c>
      <c r="J26" s="49">
        <f t="shared" si="7"/>
        <v>-0.011001596419185418</v>
      </c>
      <c r="K26" s="49">
        <f t="shared" si="8"/>
        <v>6.846366208649025E-05</v>
      </c>
      <c r="L26" s="49">
        <f t="shared" si="9"/>
        <v>5.040222622558518E-07</v>
      </c>
      <c r="M26" s="49">
        <f t="shared" si="26"/>
        <v>0.0009357340768746023</v>
      </c>
      <c r="N26" s="49">
        <f t="shared" si="27"/>
        <v>0.1030252447715166</v>
      </c>
      <c r="O26" s="49">
        <f t="shared" si="10"/>
        <v>2.4489637456825974E-08</v>
      </c>
      <c r="P26" s="49">
        <f t="shared" si="11"/>
        <v>0</v>
      </c>
      <c r="Q26" s="49">
        <f t="shared" si="12"/>
        <v>1</v>
      </c>
      <c r="R26" s="206">
        <f t="shared" si="13"/>
        <v>0.42657748892006353</v>
      </c>
      <c r="S26" s="53">
        <f t="shared" si="14"/>
        <v>5.825662323200542</v>
      </c>
      <c r="T26" s="49">
        <f t="shared" si="15"/>
        <v>2.4781284154863688</v>
      </c>
      <c r="U26" s="49">
        <f t="shared" si="16"/>
        <v>5.3475339077141735</v>
      </c>
      <c r="V26" s="54">
        <f t="shared" si="17"/>
        <v>0.17433767679945777</v>
      </c>
      <c r="W26" s="99">
        <f t="shared" si="18"/>
        <v>-10.404705904406432</v>
      </c>
      <c r="X26" s="25">
        <f t="shared" si="31"/>
        <v>-0.24136111889590683</v>
      </c>
      <c r="Y26" s="23">
        <f t="shared" si="19"/>
        <v>1.7566264497877127</v>
      </c>
      <c r="Z26" s="23">
        <f t="shared" si="20"/>
        <v>1.7566264497877127</v>
      </c>
      <c r="AA26" s="214">
        <f>ERF(AH26)+ERF(AI26)-1</f>
        <v>0.3763129696436547</v>
      </c>
      <c r="AB26" s="52">
        <f t="shared" si="21"/>
        <v>6</v>
      </c>
      <c r="AC26" s="143">
        <f t="shared" si="28"/>
        <v>0.3</v>
      </c>
      <c r="AD26" s="144">
        <f t="shared" si="32"/>
        <v>7.9</v>
      </c>
      <c r="AE26" s="208">
        <f t="shared" si="29"/>
        <v>0</v>
      </c>
      <c r="AF26" s="162">
        <f t="shared" si="22"/>
        <v>0.7444555926463448</v>
      </c>
      <c r="AG26" s="186">
        <f>IF(ABS(AF26)&lt;10,SIGN(AF26)*ERF(ABS(AF26)),SIGN(AF26))</f>
        <v>0.7075759048692001</v>
      </c>
      <c r="AH26" s="202">
        <f t="shared" si="23"/>
        <v>0.9463418550589128</v>
      </c>
      <c r="AI26" s="202">
        <f t="shared" si="24"/>
        <v>0.5425693302337767</v>
      </c>
    </row>
    <row r="27" spans="1:35" s="26" customFormat="1" ht="15" customHeight="1">
      <c r="A27" s="127">
        <f t="shared" si="30"/>
        <v>0.3200000000000001</v>
      </c>
      <c r="B27" s="49">
        <f t="shared" si="0"/>
        <v>-5.833412074304454</v>
      </c>
      <c r="C27" s="135">
        <f t="shared" si="1"/>
        <v>0.04774</v>
      </c>
      <c r="D27" s="150">
        <f t="shared" si="2"/>
        <v>161570.74939122685</v>
      </c>
      <c r="E27" s="150">
        <f t="shared" si="3"/>
        <v>1562.4999999999993</v>
      </c>
      <c r="F27" s="108">
        <f t="shared" si="25"/>
        <v>342.6717173319485</v>
      </c>
      <c r="G27" s="108">
        <f t="shared" si="4"/>
        <v>367.07283454271965</v>
      </c>
      <c r="H27" s="50">
        <f t="shared" si="5"/>
        <v>4.046462880730921</v>
      </c>
      <c r="I27" s="49">
        <f t="shared" si="6"/>
        <v>0.4935519127601224</v>
      </c>
      <c r="J27" s="49">
        <f t="shared" si="7"/>
        <v>-0.011356486626255916</v>
      </c>
      <c r="K27" s="49">
        <f t="shared" si="8"/>
        <v>7.295162522996784E-05</v>
      </c>
      <c r="L27" s="49">
        <f t="shared" si="9"/>
        <v>5.722679429389096E-07</v>
      </c>
      <c r="M27" s="49">
        <f t="shared" si="26"/>
        <v>0.0009153496755448312</v>
      </c>
      <c r="N27" s="49">
        <f t="shared" si="27"/>
        <v>0.10072802425928834</v>
      </c>
      <c r="O27" s="49">
        <f t="shared" si="10"/>
        <v>2.7171099425959966E-08</v>
      </c>
      <c r="P27" s="49">
        <f t="shared" si="11"/>
        <v>0</v>
      </c>
      <c r="Q27" s="49">
        <f t="shared" si="12"/>
        <v>1</v>
      </c>
      <c r="R27" s="206">
        <f t="shared" si="13"/>
        <v>0.43138948542453814</v>
      </c>
      <c r="S27" s="53">
        <f t="shared" si="14"/>
        <v>6.072132902613912</v>
      </c>
      <c r="T27" s="49">
        <f t="shared" si="15"/>
        <v>2.4935519127601222</v>
      </c>
      <c r="U27" s="49">
        <f t="shared" si="16"/>
        <v>5.57858098985379</v>
      </c>
      <c r="V27" s="54">
        <f t="shared" si="17"/>
        <v>-0.07213290261391236</v>
      </c>
      <c r="W27" s="99">
        <f t="shared" si="18"/>
        <v>-10.42494139818466</v>
      </c>
      <c r="X27" s="25">
        <f t="shared" si="31"/>
        <v>-0.25192526608803645</v>
      </c>
      <c r="Y27" s="23">
        <f t="shared" si="19"/>
        <v>1.7566264497877127</v>
      </c>
      <c r="Z27" s="23">
        <f t="shared" si="20"/>
        <v>1.7566264497877127</v>
      </c>
      <c r="AA27" s="214">
        <f>ERF(AH27)+ERF(AI27)-1</f>
        <v>0.3566274460117851</v>
      </c>
      <c r="AB27" s="52">
        <f t="shared" si="21"/>
        <v>6</v>
      </c>
      <c r="AC27" s="143">
        <f t="shared" si="28"/>
        <v>0.3</v>
      </c>
      <c r="AD27" s="144">
        <f t="shared" si="32"/>
        <v>7.9</v>
      </c>
      <c r="AE27" s="208">
        <f t="shared" si="29"/>
        <v>0</v>
      </c>
      <c r="AF27" s="162">
        <f t="shared" si="22"/>
        <v>0.7282380774914176</v>
      </c>
      <c r="AG27" s="186">
        <f>IF(ABS(AF27)&lt;10,SIGN(AF27)*ERF(ABS(AF27)),SIGN(AF27))</f>
        <v>0.6969353667948379</v>
      </c>
      <c r="AH27" s="202">
        <f t="shared" si="23"/>
        <v>0.9257263696924799</v>
      </c>
      <c r="AI27" s="202">
        <f t="shared" si="24"/>
        <v>0.5307497852903552</v>
      </c>
    </row>
    <row r="28" spans="1:35" s="26" customFormat="1" ht="15" customHeight="1">
      <c r="A28" s="127">
        <f t="shared" si="30"/>
        <v>0.3300000000000001</v>
      </c>
      <c r="B28" s="49">
        <f t="shared" si="0"/>
        <v>-5.833412074304454</v>
      </c>
      <c r="C28" s="135">
        <f t="shared" si="1"/>
        <v>0.04774</v>
      </c>
      <c r="D28" s="150">
        <f t="shared" si="2"/>
        <v>156674.66607634118</v>
      </c>
      <c r="E28" s="150">
        <f t="shared" si="3"/>
        <v>1515.1515151515146</v>
      </c>
      <c r="F28" s="108">
        <f t="shared" si="25"/>
        <v>351.3045204582936</v>
      </c>
      <c r="G28" s="108">
        <f t="shared" si="4"/>
        <v>375.1445402700559</v>
      </c>
      <c r="H28" s="50">
        <f t="shared" si="5"/>
        <v>4.284933679870343</v>
      </c>
      <c r="I28" s="49">
        <f t="shared" si="6"/>
        <v>0.5089754100338763</v>
      </c>
      <c r="J28" s="49">
        <f t="shared" si="7"/>
        <v>-0.011711376833326414</v>
      </c>
      <c r="K28" s="49">
        <f t="shared" si="8"/>
        <v>7.758202606983175E-05</v>
      </c>
      <c r="L28" s="49">
        <f t="shared" si="9"/>
        <v>6.472196839776243E-07</v>
      </c>
      <c r="M28" s="49">
        <f t="shared" si="26"/>
        <v>0.0008956547781772943</v>
      </c>
      <c r="N28" s="49">
        <f t="shared" si="27"/>
        <v>0.0985108133612117</v>
      </c>
      <c r="O28" s="49">
        <f t="shared" si="10"/>
        <v>3.003790771671788E-08</v>
      </c>
      <c r="P28" s="49">
        <f t="shared" si="11"/>
        <v>0</v>
      </c>
      <c r="Q28" s="49">
        <f t="shared" si="12"/>
        <v>1</v>
      </c>
      <c r="R28" s="206">
        <f t="shared" si="13"/>
        <v>0.43709227485359214</v>
      </c>
      <c r="S28" s="53">
        <f t="shared" si="14"/>
        <v>6.329512855376615</v>
      </c>
      <c r="T28" s="49">
        <f t="shared" si="15"/>
        <v>2.508975410033876</v>
      </c>
      <c r="U28" s="49">
        <f t="shared" si="16"/>
        <v>5.8205374453427385</v>
      </c>
      <c r="V28" s="54">
        <f t="shared" si="17"/>
        <v>-0.3295128553766151</v>
      </c>
      <c r="W28" s="99">
        <f t="shared" si="18"/>
        <v>-10.446067684887469</v>
      </c>
      <c r="X28" s="25">
        <f t="shared" si="31"/>
        <v>-0.2632458790574588</v>
      </c>
      <c r="Y28" s="23">
        <f t="shared" si="19"/>
        <v>1.7566264497877127</v>
      </c>
      <c r="Z28" s="23">
        <f t="shared" si="20"/>
        <v>1.7566264497877127</v>
      </c>
      <c r="AA28" s="214">
        <f>ERF(AH28)+ERF(AI28)-1</f>
        <v>0.3371300030781197</v>
      </c>
      <c r="AB28" s="52">
        <f t="shared" si="21"/>
        <v>6</v>
      </c>
      <c r="AC28" s="143">
        <f t="shared" si="28"/>
        <v>0.3</v>
      </c>
      <c r="AD28" s="144">
        <f t="shared" si="32"/>
        <v>7.9</v>
      </c>
      <c r="AE28" s="208">
        <f t="shared" si="29"/>
        <v>0</v>
      </c>
      <c r="AF28" s="162">
        <f t="shared" si="22"/>
        <v>0.712569121049401</v>
      </c>
      <c r="AG28" s="186">
        <f>IF(ABS(AF28)&lt;10,SIGN(AF28)*ERF(ABS(AF28)),SIGN(AF28))</f>
        <v>0.6864131891234604</v>
      </c>
      <c r="AH28" s="202">
        <f t="shared" si="23"/>
        <v>0.9058082047238147</v>
      </c>
      <c r="AI28" s="202">
        <f t="shared" si="24"/>
        <v>0.5193300373749872</v>
      </c>
    </row>
    <row r="29" spans="1:35" s="26" customFormat="1" ht="15" customHeight="1">
      <c r="A29" s="127">
        <f t="shared" si="30"/>
        <v>0.34000000000000014</v>
      </c>
      <c r="B29" s="49">
        <f t="shared" si="0"/>
        <v>-5.833412074304454</v>
      </c>
      <c r="C29" s="135">
        <f t="shared" si="1"/>
        <v>0.04774</v>
      </c>
      <c r="D29" s="150">
        <f t="shared" si="2"/>
        <v>152066.58766233115</v>
      </c>
      <c r="E29" s="150">
        <f t="shared" si="3"/>
        <v>1470.588235294117</v>
      </c>
      <c r="F29" s="108">
        <f t="shared" si="25"/>
        <v>359.98633802915737</v>
      </c>
      <c r="G29" s="108">
        <f t="shared" si="4"/>
        <v>383.28673805343533</v>
      </c>
      <c r="H29" s="50">
        <f t="shared" si="5"/>
        <v>4.534011801289187</v>
      </c>
      <c r="I29" s="49">
        <f t="shared" si="6"/>
        <v>0.5243989073076301</v>
      </c>
      <c r="J29" s="49">
        <f t="shared" si="7"/>
        <v>-0.012066267040396912</v>
      </c>
      <c r="K29" s="49">
        <f t="shared" si="8"/>
        <v>8.235486110728795E-05</v>
      </c>
      <c r="L29" s="49">
        <f t="shared" si="9"/>
        <v>7.293029481602626E-07</v>
      </c>
      <c r="M29" s="49">
        <f t="shared" si="26"/>
        <v>0.0008766282958455952</v>
      </c>
      <c r="N29" s="49">
        <f t="shared" si="27"/>
        <v>0.09637099907102141</v>
      </c>
      <c r="O29" s="49">
        <f t="shared" si="10"/>
        <v>3.309579563182119E-08</v>
      </c>
      <c r="P29" s="49">
        <f t="shared" si="11"/>
        <v>0</v>
      </c>
      <c r="Q29" s="49">
        <f t="shared" si="12"/>
        <v>1</v>
      </c>
      <c r="R29" s="206">
        <f t="shared" si="13"/>
        <v>0.44384219066224784</v>
      </c>
      <c r="S29" s="53">
        <f t="shared" si="14"/>
        <v>6.59862466072883</v>
      </c>
      <c r="T29" s="49">
        <f t="shared" si="15"/>
        <v>2.52439890730763</v>
      </c>
      <c r="U29" s="49">
        <f t="shared" si="16"/>
        <v>6.074225753421199</v>
      </c>
      <c r="V29" s="54">
        <f t="shared" si="17"/>
        <v>-0.5986246607288299</v>
      </c>
      <c r="W29" s="99">
        <f t="shared" si="18"/>
        <v>-10.468241097969877</v>
      </c>
      <c r="X29" s="25">
        <f t="shared" si="31"/>
        <v>-0.275467285491513</v>
      </c>
      <c r="Y29" s="23">
        <f t="shared" si="19"/>
        <v>1.7566264497877127</v>
      </c>
      <c r="Z29" s="23">
        <f t="shared" si="20"/>
        <v>1.7566264497877127</v>
      </c>
      <c r="AA29" s="214">
        <f>ERF(AH29)+ERF(AI29)-1</f>
        <v>0.3178444268360945</v>
      </c>
      <c r="AB29" s="52">
        <f t="shared" si="21"/>
        <v>6</v>
      </c>
      <c r="AC29" s="143">
        <f t="shared" si="28"/>
        <v>0.3</v>
      </c>
      <c r="AD29" s="144">
        <f t="shared" si="32"/>
        <v>7.9</v>
      </c>
      <c r="AE29" s="208">
        <f t="shared" si="29"/>
        <v>0</v>
      </c>
      <c r="AF29" s="162">
        <f t="shared" si="22"/>
        <v>0.6974319452958685</v>
      </c>
      <c r="AG29" s="186">
        <f>IF(ABS(AF29)&lt;10,SIGN(AF29)*ERF(ABS(AF29)),SIGN(AF29))</f>
        <v>0.6760227591290994</v>
      </c>
      <c r="AH29" s="202">
        <f t="shared" si="23"/>
        <v>0.886566032155765</v>
      </c>
      <c r="AI29" s="202">
        <f t="shared" si="24"/>
        <v>0.508297858435972</v>
      </c>
    </row>
    <row r="30" spans="1:35" s="20" customFormat="1" ht="15" customHeight="1">
      <c r="A30" s="126">
        <f t="shared" si="30"/>
        <v>0.35000000000000014</v>
      </c>
      <c r="B30" s="97">
        <f t="shared" si="0"/>
        <v>-5.833412074304454</v>
      </c>
      <c r="C30" s="134">
        <f t="shared" si="1"/>
        <v>0.04774</v>
      </c>
      <c r="D30" s="149">
        <f t="shared" si="2"/>
        <v>147721.82801483598</v>
      </c>
      <c r="E30" s="149">
        <f t="shared" si="3"/>
        <v>1428.571428571428</v>
      </c>
      <c r="F30" s="107">
        <f t="shared" si="25"/>
        <v>368.7137077447219</v>
      </c>
      <c r="G30" s="107">
        <f t="shared" si="4"/>
        <v>391.4950296987948</v>
      </c>
      <c r="H30" s="100">
        <f t="shared" si="5"/>
        <v>4.794518407600494</v>
      </c>
      <c r="I30" s="97">
        <f t="shared" si="6"/>
        <v>0.5398224045813839</v>
      </c>
      <c r="J30" s="97">
        <f t="shared" si="7"/>
        <v>-0.012421157247467408</v>
      </c>
      <c r="K30" s="97">
        <f t="shared" si="8"/>
        <v>8.727012673595965E-05</v>
      </c>
      <c r="L30" s="97">
        <f t="shared" si="9"/>
        <v>8.189562715941481E-07</v>
      </c>
      <c r="M30" s="97">
        <f t="shared" si="26"/>
        <v>0.0008582484438142392</v>
      </c>
      <c r="N30" s="97">
        <f t="shared" si="27"/>
        <v>0.09430590850444903</v>
      </c>
      <c r="O30" s="97">
        <f t="shared" si="10"/>
        <v>3.635047633732125E-08</v>
      </c>
      <c r="P30" s="97">
        <f t="shared" si="11"/>
        <v>0</v>
      </c>
      <c r="Q30" s="97">
        <f t="shared" si="12"/>
        <v>1</v>
      </c>
      <c r="R30" s="205">
        <f t="shared" si="13"/>
        <v>0.4517998503665668</v>
      </c>
      <c r="S30" s="98">
        <f t="shared" si="14"/>
        <v>6.880447426359641</v>
      </c>
      <c r="T30" s="97">
        <f t="shared" si="15"/>
        <v>2.539822404581384</v>
      </c>
      <c r="U30" s="97">
        <f t="shared" si="16"/>
        <v>6.340625021778258</v>
      </c>
      <c r="V30" s="102">
        <f t="shared" si="17"/>
        <v>-0.8804474263596411</v>
      </c>
      <c r="W30" s="103">
        <f t="shared" si="18"/>
        <v>-10.491622254947952</v>
      </c>
      <c r="X30" s="27">
        <f t="shared" si="31"/>
        <v>-0.28876454252298656</v>
      </c>
      <c r="Y30" s="18">
        <f t="shared" si="19"/>
        <v>1.7566264497877127</v>
      </c>
      <c r="Z30" s="18">
        <f t="shared" si="20"/>
        <v>1.7566264497877127</v>
      </c>
      <c r="AA30" s="216">
        <f>ERF(AH30)+ERF(AI30)-1</f>
        <v>0.29879145573708366</v>
      </c>
      <c r="AB30" s="101">
        <f t="shared" si="21"/>
        <v>6</v>
      </c>
      <c r="AC30" s="192">
        <f t="shared" si="28"/>
        <v>0.3</v>
      </c>
      <c r="AD30" s="193">
        <f t="shared" si="32"/>
        <v>7.9</v>
      </c>
      <c r="AE30" s="207">
        <f t="shared" si="29"/>
        <v>0</v>
      </c>
      <c r="AF30" s="161">
        <f t="shared" si="22"/>
        <v>0.6828092186314118</v>
      </c>
      <c r="AG30" s="185">
        <f>IF(ABS(AF30)&lt;10,SIGN(AF30)*ERF(ABS(AF30)),SIGN(AF30))</f>
        <v>0.6657746667635106</v>
      </c>
      <c r="AH30" s="200">
        <f t="shared" si="23"/>
        <v>0.8679778202941675</v>
      </c>
      <c r="AI30" s="200">
        <f t="shared" si="24"/>
        <v>0.4976406169686561</v>
      </c>
    </row>
    <row r="31" spans="1:35" s="26" customFormat="1" ht="15" customHeight="1">
      <c r="A31" s="127">
        <f t="shared" si="30"/>
        <v>0.36000000000000015</v>
      </c>
      <c r="B31" s="49">
        <f t="shared" si="0"/>
        <v>-5.833412074304454</v>
      </c>
      <c r="C31" s="135">
        <f t="shared" si="1"/>
        <v>0.04774</v>
      </c>
      <c r="D31" s="150">
        <f t="shared" si="2"/>
        <v>143618.44390331276</v>
      </c>
      <c r="E31" s="150">
        <f t="shared" si="3"/>
        <v>1388.8888888888882</v>
      </c>
      <c r="F31" s="108">
        <f t="shared" si="25"/>
        <v>377.483470138871</v>
      </c>
      <c r="G31" s="108">
        <f t="shared" si="4"/>
        <v>399.765343955781</v>
      </c>
      <c r="H31" s="50">
        <f t="shared" si="5"/>
        <v>5.0674142169850445</v>
      </c>
      <c r="I31" s="49">
        <f t="shared" si="6"/>
        <v>0.5552459018551377</v>
      </c>
      <c r="J31" s="49">
        <f t="shared" si="7"/>
        <v>-0.012776047454537906</v>
      </c>
      <c r="K31" s="49">
        <f t="shared" si="8"/>
        <v>9.232781924182456E-05</v>
      </c>
      <c r="L31" s="49">
        <f t="shared" si="9"/>
        <v>9.16631261768342E-07</v>
      </c>
      <c r="M31" s="49">
        <f t="shared" si="26"/>
        <v>0.0008404930669457073</v>
      </c>
      <c r="N31" s="49">
        <f t="shared" si="27"/>
        <v>0.0923128448350289</v>
      </c>
      <c r="O31" s="49">
        <f t="shared" si="10"/>
        <v>3.980765304889555E-08</v>
      </c>
      <c r="P31" s="49">
        <f t="shared" si="11"/>
        <v>0</v>
      </c>
      <c r="Q31" s="49">
        <f t="shared" si="12"/>
        <v>1</v>
      </c>
      <c r="R31" s="206">
        <f t="shared" si="13"/>
        <v>0.46117982566067717</v>
      </c>
      <c r="S31" s="53">
        <f t="shared" si="14"/>
        <v>7.176153745774803</v>
      </c>
      <c r="T31" s="49">
        <f t="shared" si="15"/>
        <v>2.5552459018551374</v>
      </c>
      <c r="U31" s="49">
        <f t="shared" si="16"/>
        <v>6.620907843919666</v>
      </c>
      <c r="V31" s="54">
        <f t="shared" si="17"/>
        <v>-1.176153745774803</v>
      </c>
      <c r="W31" s="99">
        <f t="shared" si="18"/>
        <v>-10.516425727515815</v>
      </c>
      <c r="X31" s="25">
        <f t="shared" si="31"/>
        <v>-0.3033517735305704</v>
      </c>
      <c r="Y31" s="23">
        <f t="shared" si="19"/>
        <v>1.7566264497877127</v>
      </c>
      <c r="Z31" s="23">
        <f t="shared" si="20"/>
        <v>1.7566264497877127</v>
      </c>
      <c r="AA31" s="214">
        <f>ERF(AH31)+ERF(AI31)-1</f>
        <v>0.27998875907452625</v>
      </c>
      <c r="AB31" s="52">
        <f t="shared" si="21"/>
        <v>6</v>
      </c>
      <c r="AC31" s="143">
        <f t="shared" si="28"/>
        <v>0.3</v>
      </c>
      <c r="AD31" s="144">
        <f t="shared" si="32"/>
        <v>7.9</v>
      </c>
      <c r="AE31" s="208">
        <f t="shared" si="29"/>
        <v>0</v>
      </c>
      <c r="AF31" s="162">
        <f t="shared" si="22"/>
        <v>0.6686833147704867</v>
      </c>
      <c r="AG31" s="186">
        <f>IF(ABS(AF31)&lt;10,SIGN(AF31)*ERF(ABS(AF31)),SIGN(AF31))</f>
        <v>0.6556784800068892</v>
      </c>
      <c r="AH31" s="202">
        <f t="shared" si="23"/>
        <v>0.850021162843839</v>
      </c>
      <c r="AI31" s="202">
        <f t="shared" si="24"/>
        <v>0.4873454666971344</v>
      </c>
    </row>
    <row r="32" spans="1:35" s="26" customFormat="1" ht="15" customHeight="1">
      <c r="A32" s="127">
        <f t="shared" si="30"/>
        <v>0.37000000000000016</v>
      </c>
      <c r="B32" s="49">
        <f t="shared" si="0"/>
        <v>-5.833412074304454</v>
      </c>
      <c r="C32" s="135">
        <f t="shared" si="1"/>
        <v>0.04774</v>
      </c>
      <c r="D32" s="150">
        <f t="shared" si="2"/>
        <v>139736.86433835834</v>
      </c>
      <c r="E32" s="150">
        <f t="shared" si="3"/>
        <v>1351.3513513513508</v>
      </c>
      <c r="F32" s="108">
        <f t="shared" si="25"/>
        <v>386.2927379790021</v>
      </c>
      <c r="G32" s="108">
        <f t="shared" si="4"/>
        <v>408.0939100443842</v>
      </c>
      <c r="H32" s="50">
        <f t="shared" si="5"/>
        <v>5.35385673687162</v>
      </c>
      <c r="I32" s="49">
        <f t="shared" si="6"/>
        <v>0.5706693991288916</v>
      </c>
      <c r="J32" s="49">
        <f t="shared" si="7"/>
        <v>-0.013130937661608404</v>
      </c>
      <c r="K32" s="49">
        <f t="shared" si="8"/>
        <v>9.752793480334045E-05</v>
      </c>
      <c r="L32" s="49">
        <f t="shared" si="9"/>
        <v>1.0227925965798538E-06</v>
      </c>
      <c r="M32" s="49">
        <f t="shared" si="26"/>
        <v>0.0008233399022383272</v>
      </c>
      <c r="N32" s="49">
        <f t="shared" si="27"/>
        <v>0.09038911598832053</v>
      </c>
      <c r="O32" s="49">
        <f t="shared" si="10"/>
        <v>4.347301629792355E-08</v>
      </c>
      <c r="P32" s="49">
        <f t="shared" si="11"/>
        <v>0</v>
      </c>
      <c r="Q32" s="49">
        <f t="shared" si="12"/>
        <v>1</v>
      </c>
      <c r="R32" s="206">
        <f t="shared" si="13"/>
        <v>0.47223465516633745</v>
      </c>
      <c r="S32" s="53">
        <f t="shared" si="14"/>
        <v>7.487150973420782</v>
      </c>
      <c r="T32" s="49">
        <f t="shared" si="15"/>
        <v>2.5706693991288914</v>
      </c>
      <c r="U32" s="49">
        <f t="shared" si="16"/>
        <v>6.916481574291891</v>
      </c>
      <c r="V32" s="54">
        <f t="shared" si="17"/>
        <v>-1.487150973420782</v>
      </c>
      <c r="W32" s="99">
        <f t="shared" si="18"/>
        <v>-10.54290405429523</v>
      </c>
      <c r="X32" s="25">
        <f t="shared" si="31"/>
        <v>-0.31949301698737465</v>
      </c>
      <c r="Y32" s="23">
        <f t="shared" si="19"/>
        <v>1.7566264497877127</v>
      </c>
      <c r="Z32" s="23">
        <f t="shared" si="20"/>
        <v>1.7566264497877127</v>
      </c>
      <c r="AA32" s="214">
        <f>ERF(AH32)+ERF(AI32)-1</f>
        <v>0.261451333235057</v>
      </c>
      <c r="AB32" s="52">
        <f t="shared" si="21"/>
        <v>6</v>
      </c>
      <c r="AC32" s="143">
        <f t="shared" si="28"/>
        <v>0.3</v>
      </c>
      <c r="AD32" s="144">
        <f t="shared" si="32"/>
        <v>7.9</v>
      </c>
      <c r="AE32" s="208">
        <f t="shared" si="29"/>
        <v>0</v>
      </c>
      <c r="AF32" s="162">
        <f t="shared" si="22"/>
        <v>0.6550365216124939</v>
      </c>
      <c r="AG32" s="186">
        <f>IF(ABS(AF32)&lt;10,SIGN(AF32)*ERF(ABS(AF32)),SIGN(AF32))</f>
        <v>0.6457418676621127</v>
      </c>
      <c r="AH32" s="202">
        <f t="shared" si="23"/>
        <v>0.8326735444226617</v>
      </c>
      <c r="AI32" s="202">
        <f t="shared" si="24"/>
        <v>0.4773994988023261</v>
      </c>
    </row>
    <row r="33" spans="1:35" s="26" customFormat="1" ht="15" customHeight="1">
      <c r="A33" s="127">
        <f t="shared" si="30"/>
        <v>0.38000000000000017</v>
      </c>
      <c r="B33" s="49">
        <f t="shared" si="0"/>
        <v>-5.833412074304454</v>
      </c>
      <c r="C33" s="135">
        <f t="shared" si="1"/>
        <v>0.04774</v>
      </c>
      <c r="D33" s="150">
        <f t="shared" si="2"/>
        <v>136059.57843471735</v>
      </c>
      <c r="E33" s="150">
        <f t="shared" si="3"/>
        <v>1315.78947368421</v>
      </c>
      <c r="F33" s="108">
        <f t="shared" si="25"/>
        <v>395.1388690581456</v>
      </c>
      <c r="G33" s="108">
        <f t="shared" si="4"/>
        <v>416.47723327998415</v>
      </c>
      <c r="H33" s="50">
        <f t="shared" si="5"/>
        <v>5.655236718759621</v>
      </c>
      <c r="I33" s="49">
        <f t="shared" si="6"/>
        <v>0.5860928964026454</v>
      </c>
      <c r="J33" s="49">
        <f t="shared" si="7"/>
        <v>-0.013485827868678902</v>
      </c>
      <c r="K33" s="49">
        <f t="shared" si="8"/>
        <v>0.00010287046949119391</v>
      </c>
      <c r="L33" s="49">
        <f t="shared" si="9"/>
        <v>1.1379180214303503E-06</v>
      </c>
      <c r="M33" s="49">
        <f t="shared" si="26"/>
        <v>0.000806766788556046</v>
      </c>
      <c r="N33" s="49">
        <f t="shared" si="27"/>
        <v>0.08853205729027011</v>
      </c>
      <c r="O33" s="49">
        <f t="shared" si="10"/>
        <v>4.7352249635257415E-08</v>
      </c>
      <c r="P33" s="49">
        <f t="shared" si="11"/>
        <v>0</v>
      </c>
      <c r="Q33" s="49">
        <f t="shared" si="12"/>
        <v>1</v>
      </c>
      <c r="R33" s="206">
        <f t="shared" si="13"/>
        <v>0.48527692202674544</v>
      </c>
      <c r="S33" s="53">
        <f t="shared" si="14"/>
        <v>7.815139779749552</v>
      </c>
      <c r="T33" s="49">
        <f t="shared" si="15"/>
        <v>2.5860928964026453</v>
      </c>
      <c r="U33" s="49">
        <f t="shared" si="16"/>
        <v>7.229046883346907</v>
      </c>
      <c r="V33" s="54">
        <f t="shared" si="17"/>
        <v>-1.8151397797495523</v>
      </c>
      <c r="W33" s="99">
        <f t="shared" si="18"/>
        <v>-10.57136981842939</v>
      </c>
      <c r="X33" s="25">
        <f t="shared" si="31"/>
        <v>-0.3375180591940685</v>
      </c>
      <c r="Y33" s="23">
        <f t="shared" si="19"/>
        <v>1.7566264497877127</v>
      </c>
      <c r="Z33" s="23">
        <f t="shared" si="20"/>
        <v>1.7566264497877127</v>
      </c>
      <c r="AA33" s="214">
        <f>ERF(AH33)+ERF(AI33)-1</f>
        <v>0.2431916368922129</v>
      </c>
      <c r="AB33" s="52">
        <f t="shared" si="21"/>
        <v>6</v>
      </c>
      <c r="AC33" s="143">
        <f t="shared" si="28"/>
        <v>0.3</v>
      </c>
      <c r="AD33" s="144">
        <f t="shared" si="32"/>
        <v>7.9</v>
      </c>
      <c r="AE33" s="208">
        <f t="shared" si="29"/>
        <v>0</v>
      </c>
      <c r="AF33" s="162">
        <f t="shared" si="22"/>
        <v>0.6418512080995487</v>
      </c>
      <c r="AG33" s="186">
        <f>IF(ABS(AF33)&lt;10,SIGN(AF33)*ERF(ABS(AF33)),SIGN(AF33))</f>
        <v>0.6359710127977664</v>
      </c>
      <c r="AH33" s="202">
        <f t="shared" si="23"/>
        <v>0.8159125526689177</v>
      </c>
      <c r="AI33" s="202">
        <f t="shared" si="24"/>
        <v>0.4677898635301796</v>
      </c>
    </row>
    <row r="34" spans="1:35" s="26" customFormat="1" ht="15" customHeight="1">
      <c r="A34" s="127">
        <f t="shared" si="30"/>
        <v>0.3900000000000002</v>
      </c>
      <c r="B34" s="49">
        <f t="shared" si="0"/>
        <v>-5.833412074304454</v>
      </c>
      <c r="C34" s="135">
        <f t="shared" si="1"/>
        <v>0.04774</v>
      </c>
      <c r="D34" s="150">
        <f t="shared" si="2"/>
        <v>132570.87129536562</v>
      </c>
      <c r="E34" s="150">
        <f t="shared" si="3"/>
        <v>1282.0512820512815</v>
      </c>
      <c r="F34" s="108">
        <f t="shared" si="25"/>
        <v>404.0194419873788</v>
      </c>
      <c r="G34" s="108">
        <f t="shared" si="4"/>
        <v>424.9120726736214</v>
      </c>
      <c r="H34" s="50">
        <f t="shared" si="5"/>
        <v>5.9732338961504325</v>
      </c>
      <c r="I34" s="49">
        <f t="shared" si="6"/>
        <v>0.6015163936763992</v>
      </c>
      <c r="J34" s="49">
        <f t="shared" si="7"/>
        <v>-0.0138407180757494</v>
      </c>
      <c r="K34" s="49">
        <f t="shared" si="8"/>
        <v>0.00010835541926867722</v>
      </c>
      <c r="L34" s="49">
        <f t="shared" si="9"/>
        <v>1.262498346321973E-06</v>
      </c>
      <c r="M34" s="49">
        <f t="shared" si="26"/>
        <v>0.0007907518322222028</v>
      </c>
      <c r="N34" s="49">
        <f t="shared" si="27"/>
        <v>0.08673904909391154</v>
      </c>
      <c r="O34" s="49">
        <f t="shared" si="10"/>
        <v>5.1451029131621695E-08</v>
      </c>
      <c r="P34" s="49">
        <f t="shared" si="11"/>
        <v>0</v>
      </c>
      <c r="Q34" s="49">
        <f t="shared" si="12"/>
        <v>1</v>
      </c>
      <c r="R34" s="206">
        <f t="shared" si="13"/>
        <v>0.5006964389387996</v>
      </c>
      <c r="S34" s="53">
        <f t="shared" si="14"/>
        <v>8.162187091808919</v>
      </c>
      <c r="T34" s="49">
        <f t="shared" si="15"/>
        <v>2.601516393676399</v>
      </c>
      <c r="U34" s="49">
        <f t="shared" si="16"/>
        <v>7.56067069813252</v>
      </c>
      <c r="V34" s="54">
        <f t="shared" si="17"/>
        <v>-2.162187091808919</v>
      </c>
      <c r="W34" s="99">
        <f t="shared" si="18"/>
        <v>-10.602212832615198</v>
      </c>
      <c r="X34" s="25">
        <f t="shared" si="31"/>
        <v>-0.3578476279633689</v>
      </c>
      <c r="Y34" s="23">
        <f t="shared" si="19"/>
        <v>1.7566264497877127</v>
      </c>
      <c r="Z34" s="23">
        <f t="shared" si="20"/>
        <v>1.7566264497877127</v>
      </c>
      <c r="AA34" s="214">
        <f>ERF(AH34)+ERF(AI34)-1</f>
        <v>0.2252200064069272</v>
      </c>
      <c r="AB34" s="52">
        <f t="shared" si="21"/>
        <v>6</v>
      </c>
      <c r="AC34" s="143">
        <f t="shared" si="28"/>
        <v>0.3</v>
      </c>
      <c r="AD34" s="144">
        <f t="shared" si="32"/>
        <v>7.9</v>
      </c>
      <c r="AE34" s="208">
        <f t="shared" si="29"/>
        <v>0</v>
      </c>
      <c r="AF34" s="162">
        <f t="shared" si="22"/>
        <v>0.629109955960332</v>
      </c>
      <c r="AG34" s="186">
        <f>IF(ABS(AF34)&lt;10,SIGN(AF34)*ERF(ABS(AF34)),SIGN(AF34))</f>
        <v>0.6263707650497494</v>
      </c>
      <c r="AH34" s="202">
        <f t="shared" si="23"/>
        <v>0.7997160457122865</v>
      </c>
      <c r="AI34" s="202">
        <f t="shared" si="24"/>
        <v>0.45850386620837763</v>
      </c>
    </row>
    <row r="35" spans="1:35" s="79" customFormat="1" ht="15" customHeight="1">
      <c r="A35" s="128">
        <f t="shared" si="30"/>
        <v>0.4000000000000002</v>
      </c>
      <c r="B35" s="74">
        <f t="shared" si="0"/>
        <v>-5.833412074304454</v>
      </c>
      <c r="C35" s="136">
        <f t="shared" si="1"/>
        <v>0.04774</v>
      </c>
      <c r="D35" s="151">
        <f t="shared" si="2"/>
        <v>129256.59951298148</v>
      </c>
      <c r="E35" s="151">
        <f t="shared" si="3"/>
        <v>1249.9999999999993</v>
      </c>
      <c r="F35" s="213">
        <f t="shared" si="25"/>
        <v>412.9322346403123</v>
      </c>
      <c r="G35" s="109">
        <f t="shared" si="4"/>
        <v>433.3954203784829</v>
      </c>
      <c r="H35" s="75">
        <f t="shared" si="5"/>
        <v>6.3098914831288315</v>
      </c>
      <c r="I35" s="74">
        <f t="shared" si="6"/>
        <v>0.616939890950153</v>
      </c>
      <c r="J35" s="74">
        <f t="shared" si="7"/>
        <v>-0.014195608282819898</v>
      </c>
      <c r="K35" s="74">
        <f t="shared" si="8"/>
        <v>0.00011398277999143716</v>
      </c>
      <c r="L35" s="74">
        <f t="shared" si="9"/>
        <v>1.3970374477738435E-06</v>
      </c>
      <c r="M35" s="74">
        <f t="shared" si="26"/>
        <v>0.0007752735359007073</v>
      </c>
      <c r="N35" s="74">
        <f t="shared" si="27"/>
        <v>0.08500753025593459</v>
      </c>
      <c r="O35" s="74">
        <f t="shared" si="10"/>
        <v>5.577502273923507E-08</v>
      </c>
      <c r="P35" s="74">
        <f t="shared" si="11"/>
        <v>0</v>
      </c>
      <c r="Q35" s="74">
        <f t="shared" si="12"/>
        <v>1</v>
      </c>
      <c r="R35" s="204">
        <f t="shared" si="13"/>
        <v>0.5189946785289017</v>
      </c>
      <c r="S35" s="77">
        <f t="shared" si="14"/>
        <v>8.53083503567629</v>
      </c>
      <c r="T35" s="74">
        <f t="shared" si="15"/>
        <v>2.616939890950153</v>
      </c>
      <c r="U35" s="74">
        <f t="shared" si="16"/>
        <v>7.913895144726137</v>
      </c>
      <c r="V35" s="102">
        <f t="shared" si="17"/>
        <v>-2.53083503567629</v>
      </c>
      <c r="W35" s="104">
        <f t="shared" si="18"/>
        <v>-10.635934569479055</v>
      </c>
      <c r="X35" s="78"/>
      <c r="Y35" s="74">
        <f t="shared" si="19"/>
        <v>1.7566264497877127</v>
      </c>
      <c r="Z35" s="74">
        <f t="shared" si="20"/>
        <v>1.7566264497877127</v>
      </c>
      <c r="AA35" s="163">
        <f>ERF(AH35)+ERF(AI35)-1</f>
        <v>0.20754457403408555</v>
      </c>
      <c r="AB35" s="76">
        <f t="shared" si="21"/>
        <v>6</v>
      </c>
      <c r="AC35" s="195">
        <f t="shared" si="28"/>
        <v>0.3</v>
      </c>
      <c r="AD35" s="196">
        <f>ROUNDUP(E9,0)-0.1</f>
        <v>7.9</v>
      </c>
      <c r="AE35" s="209">
        <f t="shared" si="29"/>
        <v>0</v>
      </c>
      <c r="AF35" s="163">
        <f t="shared" si="22"/>
        <v>0.6167956622459664</v>
      </c>
      <c r="AG35" s="188">
        <f>IF(ABS(AF35)&lt;10,SIGN(AF35)*ERF(ABS(AF35)),SIGN(AF35))</f>
        <v>0.616944783987942</v>
      </c>
      <c r="AH35" s="199">
        <f t="shared" si="23"/>
        <v>0.784062282516059</v>
      </c>
      <c r="AI35" s="199">
        <f t="shared" si="24"/>
        <v>0.4495290419758739</v>
      </c>
    </row>
    <row r="36" spans="1:31" ht="15" customHeight="1">
      <c r="A36" s="2"/>
      <c r="B36" s="1"/>
      <c r="C36" s="1"/>
      <c r="D36" s="8"/>
      <c r="E36" s="1"/>
      <c r="F36" s="1"/>
      <c r="G36" s="2"/>
      <c r="H36" s="4"/>
      <c r="I36" s="4"/>
      <c r="J36" s="4"/>
      <c r="K36" s="4"/>
      <c r="L36" s="1"/>
      <c r="M36" s="4"/>
      <c r="N36" s="4"/>
      <c r="O36" s="4"/>
      <c r="P36" s="4"/>
      <c r="Q36" s="4"/>
      <c r="R36" s="55"/>
      <c r="S36" s="13"/>
      <c r="U36" s="13"/>
      <c r="V36" s="13"/>
      <c r="W36" s="14"/>
      <c r="AA36" s="5"/>
      <c r="AB36" s="6"/>
      <c r="AE36" s="210">
        <f>SUM(AE15:AE35)</f>
        <v>0.4105893351779013</v>
      </c>
    </row>
    <row r="37" spans="1:27" s="26" customFormat="1" ht="15" customHeight="1">
      <c r="A37" s="80" t="s">
        <v>69</v>
      </c>
      <c r="B37" s="22"/>
      <c r="C37" s="22"/>
      <c r="D37" s="21"/>
      <c r="E37" s="22"/>
      <c r="F37" s="22"/>
      <c r="G37" s="28"/>
      <c r="W37" s="31"/>
      <c r="X37" s="31"/>
      <c r="AA37" s="167"/>
    </row>
    <row r="38" spans="1:28" s="26" customFormat="1" ht="15" customHeight="1">
      <c r="A38" s="29" t="s">
        <v>120</v>
      </c>
      <c r="B38" s="22"/>
      <c r="C38" s="22"/>
      <c r="D38" s="21"/>
      <c r="E38" s="22"/>
      <c r="F38" s="22"/>
      <c r="G38" s="28"/>
      <c r="K38" s="23"/>
      <c r="L38" s="22"/>
      <c r="M38" s="23"/>
      <c r="N38" s="23"/>
      <c r="O38" s="23"/>
      <c r="P38" s="23"/>
      <c r="Q38" s="23"/>
      <c r="R38" s="59"/>
      <c r="S38" s="23"/>
      <c r="T38" s="30"/>
      <c r="U38" s="23"/>
      <c r="W38" s="31"/>
      <c r="X38" s="31"/>
      <c r="AA38" s="167"/>
      <c r="AB38" s="24"/>
    </row>
    <row r="39" spans="1:28" s="26" customFormat="1" ht="15" customHeight="1">
      <c r="A39" s="23"/>
      <c r="B39" s="168"/>
      <c r="C39" s="169"/>
      <c r="D39" s="169"/>
      <c r="E39" s="169"/>
      <c r="F39" s="169"/>
      <c r="G39" s="169"/>
      <c r="H39" s="169"/>
      <c r="I39" s="169"/>
      <c r="J39" s="169"/>
      <c r="K39" s="169"/>
      <c r="L39" s="22"/>
      <c r="M39" s="23"/>
      <c r="N39" s="23"/>
      <c r="O39" s="23"/>
      <c r="P39" s="23"/>
      <c r="Q39" s="23"/>
      <c r="R39" s="59"/>
      <c r="S39" s="23"/>
      <c r="T39" s="30"/>
      <c r="U39" s="23"/>
      <c r="W39" s="31"/>
      <c r="X39" s="31"/>
      <c r="AA39" s="167"/>
      <c r="AB39" s="24"/>
    </row>
    <row r="40" spans="1:28" s="26" customFormat="1" ht="15" customHeight="1">
      <c r="A40" s="29" t="str">
        <f>'1300WWDM_SMF'!A40</f>
        <v>Changes over 3pmd042.xls of 27 April 2000:</v>
      </c>
      <c r="B40" s="29"/>
      <c r="C40" s="22"/>
      <c r="D40" s="21"/>
      <c r="E40" s="22"/>
      <c r="F40" s="22"/>
      <c r="G40" s="28"/>
      <c r="H40" s="23"/>
      <c r="I40" s="23"/>
      <c r="J40" s="23"/>
      <c r="K40" s="23"/>
      <c r="L40" s="22"/>
      <c r="M40" s="23"/>
      <c r="N40" s="23"/>
      <c r="O40" s="23"/>
      <c r="P40" s="23"/>
      <c r="Q40" s="23"/>
      <c r="R40" s="59"/>
      <c r="S40" s="23"/>
      <c r="T40" s="30"/>
      <c r="U40" s="23"/>
      <c r="W40" s="31"/>
      <c r="X40" s="31"/>
      <c r="AA40" s="167"/>
      <c r="AB40" s="24"/>
    </row>
    <row r="41" spans="1:28" s="26" customFormat="1" ht="15" customHeight="1">
      <c r="A41" s="29"/>
      <c r="B41" s="29"/>
      <c r="C41" s="22"/>
      <c r="D41" s="21"/>
      <c r="E41" s="22"/>
      <c r="F41" s="22"/>
      <c r="G41" s="28"/>
      <c r="H41" s="23"/>
      <c r="I41" s="23"/>
      <c r="J41" s="23"/>
      <c r="K41" s="23"/>
      <c r="L41" s="22"/>
      <c r="M41" s="23"/>
      <c r="N41" s="23"/>
      <c r="O41" s="23"/>
      <c r="P41" s="23"/>
      <c r="Q41" s="23"/>
      <c r="R41" s="59"/>
      <c r="S41" s="23"/>
      <c r="T41" s="30"/>
      <c r="U41" s="23"/>
      <c r="W41" s="31"/>
      <c r="X41" s="31"/>
      <c r="AA41" s="167"/>
      <c r="AB41" s="24"/>
    </row>
    <row r="42" spans="1:28" s="26" customFormat="1" ht="15" customHeight="1">
      <c r="A42" s="29"/>
      <c r="B42" s="29" t="str">
        <f>'1300WWDM_SMF'!B42</f>
        <v>Spectral width Uw reduced from 0.65 to 0.62 nm</v>
      </c>
      <c r="C42" s="22"/>
      <c r="D42" s="21"/>
      <c r="E42" s="22"/>
      <c r="F42" s="22"/>
      <c r="G42" s="28"/>
      <c r="H42" s="23"/>
      <c r="I42" s="23"/>
      <c r="J42" s="23"/>
      <c r="K42" s="23"/>
      <c r="L42" s="22"/>
      <c r="M42" s="23"/>
      <c r="N42" s="23"/>
      <c r="O42" s="23"/>
      <c r="P42" s="23"/>
      <c r="Q42" s="23"/>
      <c r="R42" s="59"/>
      <c r="S42" s="23"/>
      <c r="T42" s="30"/>
      <c r="U42" s="23"/>
      <c r="W42" s="31"/>
      <c r="X42" s="31"/>
      <c r="AA42" s="167"/>
      <c r="AB42" s="24"/>
    </row>
    <row r="43" spans="1:28" s="26" customFormat="1" ht="15" customHeight="1">
      <c r="A43" s="28"/>
      <c r="D43" s="21"/>
      <c r="E43" s="22"/>
      <c r="F43" s="22"/>
      <c r="G43" s="28"/>
      <c r="H43" s="23"/>
      <c r="I43" s="23"/>
      <c r="J43" s="23"/>
      <c r="K43" s="23"/>
      <c r="L43" s="22"/>
      <c r="M43" s="23"/>
      <c r="N43" s="23"/>
      <c r="O43" s="23"/>
      <c r="P43" s="23"/>
      <c r="Q43" s="23"/>
      <c r="R43" s="59"/>
      <c r="S43" s="23"/>
      <c r="T43" s="30"/>
      <c r="U43" s="23"/>
      <c r="W43" s="31"/>
      <c r="X43" s="31"/>
      <c r="AA43" s="167"/>
      <c r="AB43" s="24"/>
    </row>
    <row r="44" spans="1:28" s="26" customFormat="1" ht="15" customHeight="1">
      <c r="A44" s="28"/>
      <c r="B44" s="22"/>
      <c r="D44" s="21"/>
      <c r="E44" s="22"/>
      <c r="F44" s="22"/>
      <c r="G44" s="28"/>
      <c r="H44" s="23"/>
      <c r="I44" s="23"/>
      <c r="J44" s="23"/>
      <c r="K44" s="23"/>
      <c r="L44" s="22"/>
      <c r="M44" s="23"/>
      <c r="N44" s="23"/>
      <c r="O44" s="23"/>
      <c r="P44" s="23"/>
      <c r="Q44" s="23"/>
      <c r="R44" s="59"/>
      <c r="S44" s="23"/>
      <c r="T44" s="30"/>
      <c r="U44" s="23"/>
      <c r="W44" s="31"/>
      <c r="X44" s="31"/>
      <c r="AA44" s="167"/>
      <c r="AB44" s="24"/>
    </row>
    <row r="45" spans="1:28" s="26" customFormat="1" ht="15" customHeight="1">
      <c r="A45" s="28"/>
      <c r="B45" s="22"/>
      <c r="D45" s="21"/>
      <c r="E45" s="22"/>
      <c r="F45" s="22"/>
      <c r="G45" s="28"/>
      <c r="H45" s="23"/>
      <c r="I45" s="23"/>
      <c r="J45" s="23"/>
      <c r="K45" s="23"/>
      <c r="L45" s="22"/>
      <c r="M45" s="23"/>
      <c r="N45" s="23"/>
      <c r="O45" s="23"/>
      <c r="P45" s="23"/>
      <c r="Q45" s="23"/>
      <c r="R45" s="59"/>
      <c r="S45" s="23"/>
      <c r="T45" s="30"/>
      <c r="U45" s="23"/>
      <c r="W45" s="31"/>
      <c r="X45" s="31"/>
      <c r="AA45" s="167"/>
      <c r="AB45" s="24"/>
    </row>
    <row r="46" spans="1:28" ht="15" customHeight="1">
      <c r="A46" s="28"/>
      <c r="B46" s="22"/>
      <c r="D46" s="8"/>
      <c r="E46" s="1"/>
      <c r="F46" s="1"/>
      <c r="G46" s="2"/>
      <c r="H46" s="4"/>
      <c r="I46" s="4"/>
      <c r="J46" s="4"/>
      <c r="K46" s="4"/>
      <c r="L46" s="1"/>
      <c r="M46" s="4"/>
      <c r="N46" s="4"/>
      <c r="O46" s="4"/>
      <c r="P46" s="4"/>
      <c r="Q46" s="4"/>
      <c r="R46" s="55"/>
      <c r="S46" s="4"/>
      <c r="U46" s="4"/>
      <c r="AB46" s="6"/>
    </row>
    <row r="47" spans="1:28" ht="15" customHeight="1">
      <c r="A47" s="2"/>
      <c r="B47" s="22"/>
      <c r="C47" s="1"/>
      <c r="D47" s="8"/>
      <c r="E47" s="1"/>
      <c r="F47" s="1"/>
      <c r="G47" s="2"/>
      <c r="H47" s="4"/>
      <c r="I47" s="4"/>
      <c r="J47" s="4"/>
      <c r="K47" s="4"/>
      <c r="L47" s="1"/>
      <c r="M47" s="4"/>
      <c r="N47" s="1"/>
      <c r="O47" s="1"/>
      <c r="P47" s="1"/>
      <c r="Q47" s="4"/>
      <c r="R47" s="55"/>
      <c r="S47" s="4"/>
      <c r="U47" s="4"/>
      <c r="AB47" s="6"/>
    </row>
    <row r="48" spans="1:28" ht="15" customHeight="1">
      <c r="A48" s="2"/>
      <c r="B48" s="22"/>
      <c r="C48" s="1"/>
      <c r="D48" s="8"/>
      <c r="E48" s="1"/>
      <c r="F48" s="1"/>
      <c r="G48" s="2"/>
      <c r="H48" s="4"/>
      <c r="I48" s="4"/>
      <c r="J48" s="4"/>
      <c r="K48" s="4"/>
      <c r="L48" s="1"/>
      <c r="M48" s="4"/>
      <c r="N48" s="1"/>
      <c r="O48" s="1"/>
      <c r="P48" s="1"/>
      <c r="Q48" s="1"/>
      <c r="R48" s="60"/>
      <c r="S48" s="4"/>
      <c r="U48" s="4"/>
      <c r="AB48" s="6"/>
    </row>
    <row r="49" spans="1:28" ht="15" customHeight="1">
      <c r="A49" s="24"/>
      <c r="B49" s="22"/>
      <c r="C49" s="1"/>
      <c r="D49" s="8"/>
      <c r="E49" s="1"/>
      <c r="F49" s="1"/>
      <c r="G49" s="2"/>
      <c r="H49" s="4"/>
      <c r="I49" s="4"/>
      <c r="J49" s="4"/>
      <c r="K49" s="4"/>
      <c r="L49" s="1"/>
      <c r="M49" s="4"/>
      <c r="N49" s="1"/>
      <c r="O49" s="1"/>
      <c r="P49" s="1"/>
      <c r="Q49" s="4"/>
      <c r="R49" s="55"/>
      <c r="S49" s="4"/>
      <c r="U49" s="4"/>
      <c r="AB49" s="6"/>
    </row>
    <row r="50" spans="1:16" ht="15" customHeight="1">
      <c r="A50" s="15"/>
      <c r="B50" s="148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4"/>
      <c r="O50" s="4"/>
      <c r="P50" s="4"/>
    </row>
    <row r="51" spans="1:16" ht="15" customHeight="1">
      <c r="A51" s="24"/>
      <c r="B51" s="148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4"/>
      <c r="O51" s="4"/>
      <c r="P51" s="4"/>
    </row>
    <row r="52" spans="1:16" ht="15" customHeight="1">
      <c r="A52" s="15"/>
      <c r="B52" s="148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4"/>
      <c r="O52" s="4"/>
      <c r="P52" s="4"/>
    </row>
    <row r="53" spans="1:16" ht="1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4"/>
      <c r="O53" s="4"/>
      <c r="P53" s="4"/>
    </row>
    <row r="54" spans="1:16" ht="1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4"/>
      <c r="O54" s="4"/>
      <c r="P54" s="4"/>
    </row>
    <row r="55" spans="1:16" ht="1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4"/>
      <c r="O55" s="4"/>
      <c r="P55" s="4"/>
    </row>
    <row r="56" spans="1:16" ht="1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4"/>
      <c r="O56" s="4"/>
      <c r="P56" s="4"/>
    </row>
    <row r="57" spans="1:16" ht="1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4"/>
      <c r="O57" s="4"/>
      <c r="P57" s="4"/>
    </row>
    <row r="58" spans="1:16" ht="1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4"/>
      <c r="O58" s="4"/>
      <c r="P58" s="4"/>
    </row>
    <row r="59" spans="1:16" ht="1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4"/>
      <c r="O59" s="4"/>
      <c r="P59" s="4"/>
    </row>
    <row r="60" spans="1:16" ht="1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4"/>
      <c r="O60" s="4"/>
      <c r="P60" s="4"/>
    </row>
    <row r="61" spans="1:16" ht="1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4"/>
      <c r="O61" s="4"/>
      <c r="P61" s="4"/>
    </row>
    <row r="62" spans="1:16" ht="1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4"/>
      <c r="O62" s="4"/>
      <c r="P62" s="4"/>
    </row>
    <row r="63" spans="1:16" ht="1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4"/>
      <c r="O63" s="4"/>
      <c r="P63" s="4"/>
    </row>
    <row r="64" spans="1:16" ht="1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4"/>
      <c r="O64" s="4"/>
      <c r="P64" s="4"/>
    </row>
    <row r="65" spans="1:16" ht="1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4"/>
      <c r="O65" s="4"/>
      <c r="P65" s="4"/>
    </row>
    <row r="66" spans="1:16" ht="15" customHeight="1">
      <c r="A66" s="2"/>
      <c r="B66" s="1"/>
      <c r="C66" s="1"/>
      <c r="D66" s="8"/>
      <c r="E66" s="1"/>
      <c r="F66" s="1"/>
      <c r="G66" s="2"/>
      <c r="H66" s="4"/>
      <c r="I66" s="4"/>
      <c r="J66" s="4"/>
      <c r="K66" s="4"/>
      <c r="L66" s="1"/>
      <c r="M66" s="4"/>
      <c r="N66" s="4"/>
      <c r="O66" s="4"/>
      <c r="P66" s="4"/>
    </row>
    <row r="67" spans="1:16" ht="15" customHeight="1">
      <c r="A67" s="2"/>
      <c r="B67" s="1"/>
      <c r="C67" s="1"/>
      <c r="D67" s="8"/>
      <c r="E67" s="1"/>
      <c r="F67" s="1"/>
      <c r="G67" s="2"/>
      <c r="H67" s="4"/>
      <c r="I67" s="4"/>
      <c r="J67" s="4"/>
      <c r="K67" s="4"/>
      <c r="L67" s="1"/>
      <c r="M67" s="4"/>
      <c r="N67" s="4"/>
      <c r="O67" s="4"/>
      <c r="P67" s="4"/>
    </row>
    <row r="68" spans="1:16" ht="15" customHeight="1">
      <c r="A68" s="2"/>
      <c r="B68" s="1"/>
      <c r="C68" s="1"/>
      <c r="D68" s="8"/>
      <c r="E68" s="1"/>
      <c r="F68" s="1"/>
      <c r="G68" s="2"/>
      <c r="H68" s="4"/>
      <c r="I68" s="4"/>
      <c r="J68" s="4"/>
      <c r="K68" s="4"/>
      <c r="L68" s="1"/>
      <c r="M68" s="4"/>
      <c r="N68" s="4"/>
      <c r="O68" s="4"/>
      <c r="P68" s="4"/>
    </row>
    <row r="69" spans="1:16" ht="15" customHeight="1">
      <c r="A69" s="2"/>
      <c r="B69" s="1"/>
      <c r="C69" s="1"/>
      <c r="D69" s="8"/>
      <c r="E69" s="1"/>
      <c r="F69" s="1"/>
      <c r="G69" s="2"/>
      <c r="H69" s="4"/>
      <c r="I69" s="4"/>
      <c r="J69" s="4"/>
      <c r="K69" s="4"/>
      <c r="L69" s="1"/>
      <c r="M69" s="4"/>
      <c r="N69" s="4"/>
      <c r="O69" s="4"/>
      <c r="P69" s="4"/>
    </row>
    <row r="70" spans="1:16" ht="15" customHeight="1">
      <c r="A70" s="2"/>
      <c r="B70" s="1"/>
      <c r="C70" s="1"/>
      <c r="D70" s="8"/>
      <c r="E70" s="1"/>
      <c r="F70" s="1"/>
      <c r="G70" s="2"/>
      <c r="H70" s="4"/>
      <c r="I70" s="4"/>
      <c r="J70" s="4"/>
      <c r="K70" s="4"/>
      <c r="L70" s="1"/>
      <c r="M70" s="4"/>
      <c r="N70" s="4"/>
      <c r="O70" s="4"/>
      <c r="P70" s="4"/>
    </row>
    <row r="71" spans="1:16" ht="15" customHeight="1">
      <c r="A71" s="3"/>
      <c r="B71" s="4"/>
      <c r="C71" s="2"/>
      <c r="D71" s="8"/>
      <c r="E71" s="1"/>
      <c r="F71" s="1"/>
      <c r="G71" s="2"/>
      <c r="H71" s="4"/>
      <c r="I71" s="4"/>
      <c r="J71" s="4"/>
      <c r="K71" s="4"/>
      <c r="L71" s="1"/>
      <c r="M71" s="1"/>
      <c r="N71" s="1"/>
      <c r="O71" s="1"/>
      <c r="P71" s="1"/>
    </row>
    <row r="72" spans="1:16" ht="15" customHeight="1">
      <c r="A72" s="6"/>
      <c r="B72" s="1"/>
      <c r="C72" s="9"/>
      <c r="D72" s="8"/>
      <c r="E72" s="1"/>
      <c r="F72" s="1"/>
      <c r="G72" s="2"/>
      <c r="H72" s="4"/>
      <c r="I72" s="4"/>
      <c r="J72" s="4"/>
      <c r="K72" s="1"/>
      <c r="L72" s="1"/>
      <c r="M72" s="1"/>
      <c r="N72" s="1"/>
      <c r="O72" s="1"/>
      <c r="P72" s="1"/>
    </row>
    <row r="73" spans="1:16" ht="15" customHeight="1">
      <c r="A73" s="4"/>
      <c r="B73" s="4"/>
      <c r="C73" s="4"/>
      <c r="D73" s="8"/>
      <c r="E73" s="1"/>
      <c r="F73" s="1"/>
      <c r="G73" s="2"/>
      <c r="H73" s="4"/>
      <c r="I73" s="4"/>
      <c r="J73" s="4"/>
      <c r="K73" s="4"/>
      <c r="L73" s="1"/>
      <c r="M73" s="1"/>
      <c r="N73" s="1"/>
      <c r="O73" s="1"/>
      <c r="P73" s="1"/>
    </row>
    <row r="74" spans="1:16" ht="15" customHeight="1">
      <c r="A74" s="16"/>
      <c r="B74" s="3"/>
      <c r="C74" s="3"/>
      <c r="D74" s="8"/>
      <c r="E74" s="1"/>
      <c r="F74" s="1"/>
      <c r="G74" s="2"/>
      <c r="H74" s="4"/>
      <c r="I74" s="4"/>
      <c r="J74" s="4"/>
      <c r="K74" s="1"/>
      <c r="L74" s="8"/>
      <c r="M74" s="1"/>
      <c r="N74" s="1"/>
      <c r="O74" s="1"/>
      <c r="P74" s="1"/>
    </row>
    <row r="75" spans="1:16" ht="15" customHeight="1">
      <c r="A75" s="11"/>
      <c r="B75" s="3"/>
      <c r="C75" s="3"/>
      <c r="D75" s="8"/>
      <c r="E75" s="1"/>
      <c r="F75" s="1"/>
      <c r="G75" s="2"/>
      <c r="H75" s="4"/>
      <c r="I75" s="4"/>
      <c r="J75" s="4"/>
      <c r="K75" s="4"/>
      <c r="L75" s="1"/>
      <c r="M75" s="1"/>
      <c r="N75" s="1"/>
      <c r="O75" s="1"/>
      <c r="P75" s="1"/>
    </row>
    <row r="76" spans="1:16" ht="15" customHeight="1">
      <c r="A76" s="11"/>
      <c r="B76" s="3"/>
      <c r="C76" s="3"/>
      <c r="D76" s="8"/>
      <c r="E76" s="1"/>
      <c r="F76" s="1"/>
      <c r="G76" s="2"/>
      <c r="H76" s="4"/>
      <c r="I76" s="4"/>
      <c r="J76" s="4"/>
      <c r="K76" s="4"/>
      <c r="L76" s="1"/>
      <c r="M76" s="1"/>
      <c r="N76" s="1"/>
      <c r="O76" s="1"/>
      <c r="P76" s="1"/>
    </row>
    <row r="77" spans="1:16" ht="15" customHeight="1">
      <c r="A77" s="11"/>
      <c r="B77" s="3"/>
      <c r="C77" s="3"/>
      <c r="D77" s="8"/>
      <c r="E77" s="1"/>
      <c r="F77" s="1"/>
      <c r="G77" s="2"/>
      <c r="H77" s="4"/>
      <c r="I77" s="4"/>
      <c r="J77" s="4"/>
      <c r="K77" s="4"/>
      <c r="L77" s="1"/>
      <c r="M77" s="1"/>
      <c r="N77" s="1"/>
      <c r="O77" s="1"/>
      <c r="P77" s="1"/>
    </row>
    <row r="78" spans="1:16" ht="15" customHeight="1">
      <c r="A78" s="11"/>
      <c r="B78" s="3"/>
      <c r="C78" s="3"/>
      <c r="D78" s="8"/>
      <c r="E78" s="1"/>
      <c r="F78" s="1"/>
      <c r="G78" s="2"/>
      <c r="H78" s="4"/>
      <c r="I78" s="4"/>
      <c r="J78" s="4"/>
      <c r="K78" s="4"/>
      <c r="L78" s="1"/>
      <c r="M78" s="1"/>
      <c r="N78" s="1"/>
      <c r="O78" s="1"/>
      <c r="P78" s="1"/>
    </row>
    <row r="79" spans="1:16" ht="15" customHeight="1">
      <c r="A79" s="11"/>
      <c r="B79" s="3"/>
      <c r="C79" s="3"/>
      <c r="D79" s="8"/>
      <c r="E79" s="1"/>
      <c r="F79" s="1"/>
      <c r="G79" s="2"/>
      <c r="H79" s="4"/>
      <c r="I79" s="4"/>
      <c r="J79" s="4"/>
      <c r="K79" s="4"/>
      <c r="L79" s="1"/>
      <c r="M79" s="1"/>
      <c r="N79" s="1"/>
      <c r="O79" s="1"/>
      <c r="P79" s="1"/>
    </row>
    <row r="80" spans="1:16" ht="15" customHeight="1">
      <c r="A80" s="11"/>
      <c r="B80" s="3"/>
      <c r="C80" s="3"/>
      <c r="D80" s="8"/>
      <c r="E80" s="1"/>
      <c r="F80" s="1"/>
      <c r="G80" s="2"/>
      <c r="H80" s="4"/>
      <c r="I80" s="4"/>
      <c r="J80" s="4"/>
      <c r="K80" s="4"/>
      <c r="L80" s="1"/>
      <c r="M80" s="1"/>
      <c r="N80" s="1"/>
      <c r="O80" s="1"/>
      <c r="P80" s="1"/>
    </row>
    <row r="81" spans="1:16" ht="15" customHeight="1">
      <c r="A81" s="11"/>
      <c r="B81" s="3"/>
      <c r="C81" s="3"/>
      <c r="D81" s="8"/>
      <c r="E81" s="1"/>
      <c r="F81" s="1"/>
      <c r="G81" s="2"/>
      <c r="H81" s="4"/>
      <c r="I81" s="4"/>
      <c r="J81" s="4"/>
      <c r="K81" s="4"/>
      <c r="L81" s="1"/>
      <c r="M81" s="1"/>
      <c r="N81" s="1"/>
      <c r="O81" s="1"/>
      <c r="P81" s="1"/>
    </row>
    <row r="82" spans="1:16" ht="15" customHeight="1">
      <c r="A82" s="11"/>
      <c r="B82" s="3"/>
      <c r="C82" s="3"/>
      <c r="D82" s="8"/>
      <c r="E82" s="1"/>
      <c r="F82" s="1"/>
      <c r="G82" s="2"/>
      <c r="H82" s="4"/>
      <c r="I82" s="4"/>
      <c r="J82" s="4"/>
      <c r="K82" s="4"/>
      <c r="L82" s="1"/>
      <c r="M82" s="1"/>
      <c r="N82" s="1"/>
      <c r="O82" s="1"/>
      <c r="P82" s="1"/>
    </row>
    <row r="83" spans="1:16" ht="15" customHeight="1">
      <c r="A83" s="11"/>
      <c r="B83" s="3"/>
      <c r="C83" s="3"/>
      <c r="D83" s="8"/>
      <c r="E83" s="1"/>
      <c r="F83" s="1"/>
      <c r="G83" s="2"/>
      <c r="H83" s="4"/>
      <c r="I83" s="4"/>
      <c r="J83" s="4"/>
      <c r="K83" s="4"/>
      <c r="L83" s="1"/>
      <c r="M83" s="1"/>
      <c r="N83" s="1"/>
      <c r="O83" s="1"/>
      <c r="P83" s="1"/>
    </row>
    <row r="84" spans="1:16" ht="15" customHeight="1">
      <c r="A84" s="11"/>
      <c r="B84" s="3"/>
      <c r="C84" s="3"/>
      <c r="D84" s="8"/>
      <c r="E84" s="1"/>
      <c r="F84" s="1"/>
      <c r="G84" s="2"/>
      <c r="H84" s="4"/>
      <c r="I84" s="4"/>
      <c r="J84" s="4"/>
      <c r="K84" s="4"/>
      <c r="L84" s="1"/>
      <c r="M84" s="1"/>
      <c r="N84" s="1"/>
      <c r="O84" s="1"/>
      <c r="P84" s="1"/>
    </row>
    <row r="85" spans="1:16" ht="15" customHeight="1">
      <c r="A85" s="2"/>
      <c r="B85" s="1"/>
      <c r="C85" s="1"/>
      <c r="D85" s="8"/>
      <c r="E85" s="1"/>
      <c r="F85" s="1"/>
      <c r="G85" s="2"/>
      <c r="H85" s="4"/>
      <c r="I85" s="4"/>
      <c r="J85" s="4"/>
      <c r="K85" s="4"/>
      <c r="L85" s="1"/>
      <c r="M85" s="17"/>
      <c r="N85" s="4"/>
      <c r="O85" s="4"/>
      <c r="P85" s="4"/>
    </row>
    <row r="86" spans="1:16" ht="15" customHeight="1">
      <c r="A86" s="2"/>
      <c r="B86" s="1"/>
      <c r="C86" s="1"/>
      <c r="D86" s="8"/>
      <c r="E86" s="1"/>
      <c r="F86" s="1"/>
      <c r="G86" s="2"/>
      <c r="H86" s="4"/>
      <c r="I86" s="4"/>
      <c r="J86" s="4"/>
      <c r="K86" s="4"/>
      <c r="L86" s="1"/>
      <c r="M86" s="17"/>
      <c r="N86" s="4"/>
      <c r="O86" s="4"/>
      <c r="P86" s="4"/>
    </row>
    <row r="87" spans="1:16" ht="15" customHeight="1">
      <c r="A87" s="2"/>
      <c r="B87" s="1"/>
      <c r="C87" s="1"/>
      <c r="D87" s="8"/>
      <c r="E87" s="1"/>
      <c r="F87" s="1"/>
      <c r="G87" s="2"/>
      <c r="H87" s="4"/>
      <c r="I87" s="4"/>
      <c r="J87" s="4"/>
      <c r="K87" s="4"/>
      <c r="L87" s="1"/>
      <c r="M87" s="4"/>
      <c r="N87" s="4"/>
      <c r="O87" s="4"/>
      <c r="P87" s="4"/>
    </row>
    <row r="88" spans="1:16" ht="15" customHeight="1">
      <c r="A88" s="2"/>
      <c r="B88" s="1"/>
      <c r="C88" s="1"/>
      <c r="D88" s="8"/>
      <c r="E88" s="1"/>
      <c r="F88" s="1"/>
      <c r="G88" s="2"/>
      <c r="H88" s="4"/>
      <c r="I88" s="4"/>
      <c r="J88" s="4"/>
      <c r="K88" s="4"/>
      <c r="L88" s="1"/>
      <c r="M88" s="4"/>
      <c r="N88" s="4"/>
      <c r="O88" s="4"/>
      <c r="P88" s="4"/>
    </row>
    <row r="89" spans="1:16" ht="15" customHeight="1">
      <c r="A89" s="2"/>
      <c r="B89" s="1"/>
      <c r="C89" s="1"/>
      <c r="D89" s="8"/>
      <c r="E89" s="1"/>
      <c r="F89" s="1"/>
      <c r="G89" s="2"/>
      <c r="H89" s="4"/>
      <c r="I89" s="4"/>
      <c r="J89" s="4"/>
      <c r="K89" s="4"/>
      <c r="L89" s="1"/>
      <c r="M89" s="4"/>
      <c r="N89" s="4"/>
      <c r="O89" s="4"/>
      <c r="P89" s="4"/>
    </row>
    <row r="90" spans="1:16" ht="15" customHeight="1">
      <c r="A90" s="2"/>
      <c r="B90" s="1"/>
      <c r="C90" s="1"/>
      <c r="D90" s="8"/>
      <c r="E90" s="1"/>
      <c r="F90" s="1"/>
      <c r="G90" s="2"/>
      <c r="H90" s="4"/>
      <c r="I90" s="4"/>
      <c r="J90" s="4"/>
      <c r="K90" s="4"/>
      <c r="L90" s="1"/>
      <c r="M90" s="4"/>
      <c r="N90" s="4"/>
      <c r="O90" s="4"/>
      <c r="P90" s="4"/>
    </row>
    <row r="91" spans="1:16" ht="15" customHeight="1">
      <c r="A91" s="2"/>
      <c r="B91" s="1"/>
      <c r="C91" s="1"/>
      <c r="D91" s="8"/>
      <c r="E91" s="1"/>
      <c r="F91" s="1"/>
      <c r="G91" s="2"/>
      <c r="H91" s="4"/>
      <c r="I91" s="4"/>
      <c r="J91" s="4"/>
      <c r="K91" s="4"/>
      <c r="L91" s="1"/>
      <c r="M91" s="4"/>
      <c r="N91" s="4"/>
      <c r="O91" s="4"/>
      <c r="P91" s="4"/>
    </row>
    <row r="92" spans="1:16" ht="15" customHeight="1">
      <c r="A92" s="2"/>
      <c r="B92" s="1"/>
      <c r="C92" s="1"/>
      <c r="D92" s="8"/>
      <c r="E92" s="1"/>
      <c r="F92" s="1"/>
      <c r="G92" s="2"/>
      <c r="H92" s="4"/>
      <c r="I92" s="4"/>
      <c r="J92" s="4"/>
      <c r="K92" s="4"/>
      <c r="L92" s="1"/>
      <c r="M92" s="4"/>
      <c r="N92" s="4"/>
      <c r="O92" s="4"/>
      <c r="P92" s="4"/>
    </row>
    <row r="93" spans="1:16" ht="15" customHeight="1">
      <c r="A93" s="2"/>
      <c r="B93" s="1"/>
      <c r="C93" s="1"/>
      <c r="D93" s="8"/>
      <c r="E93" s="1"/>
      <c r="F93" s="1"/>
      <c r="G93" s="2"/>
      <c r="H93" s="4"/>
      <c r="I93" s="4"/>
      <c r="J93" s="4"/>
      <c r="K93" s="4"/>
      <c r="L93" s="1"/>
      <c r="M93" s="4"/>
      <c r="N93" s="4"/>
      <c r="O93" s="4"/>
      <c r="P93" s="4"/>
    </row>
    <row r="94" spans="1:16" ht="15" customHeight="1">
      <c r="A94" s="2"/>
      <c r="B94" s="1"/>
      <c r="C94" s="1"/>
      <c r="D94" s="8"/>
      <c r="E94" s="1"/>
      <c r="F94" s="1"/>
      <c r="G94" s="2"/>
      <c r="H94" s="4"/>
      <c r="I94" s="4"/>
      <c r="J94" s="4"/>
      <c r="K94" s="4"/>
      <c r="L94" s="1"/>
      <c r="M94" s="4"/>
      <c r="N94" s="4"/>
      <c r="O94" s="4"/>
      <c r="P94" s="4"/>
    </row>
    <row r="95" spans="1:16" ht="15" customHeight="1">
      <c r="A95" s="2"/>
      <c r="B95" s="1"/>
      <c r="C95" s="1"/>
      <c r="D95" s="8"/>
      <c r="E95" s="1"/>
      <c r="F95" s="1"/>
      <c r="G95" s="2"/>
      <c r="H95" s="4"/>
      <c r="I95" s="4"/>
      <c r="J95" s="4"/>
      <c r="K95" s="4"/>
      <c r="L95" s="1"/>
      <c r="M95" s="4"/>
      <c r="N95" s="4"/>
      <c r="O95" s="4"/>
      <c r="P95" s="4"/>
    </row>
    <row r="96" spans="1:16" ht="15" customHeight="1">
      <c r="A96" s="2"/>
      <c r="B96" s="1"/>
      <c r="C96" s="1"/>
      <c r="D96" s="8"/>
      <c r="E96" s="1"/>
      <c r="F96" s="1"/>
      <c r="G96" s="2"/>
      <c r="H96" s="4"/>
      <c r="I96" s="4"/>
      <c r="J96" s="4"/>
      <c r="K96" s="4"/>
      <c r="L96" s="1"/>
      <c r="M96" s="4"/>
      <c r="N96" s="4"/>
      <c r="O96" s="4"/>
      <c r="P96" s="4"/>
    </row>
    <row r="97" spans="1:16" ht="15" customHeight="1">
      <c r="A97" s="2"/>
      <c r="B97" s="1"/>
      <c r="C97" s="1"/>
      <c r="D97" s="8"/>
      <c r="E97" s="1"/>
      <c r="F97" s="1"/>
      <c r="G97" s="2"/>
      <c r="H97" s="4"/>
      <c r="I97" s="4"/>
      <c r="J97" s="4"/>
      <c r="K97" s="4"/>
      <c r="L97" s="1"/>
      <c r="M97" s="4"/>
      <c r="N97" s="4"/>
      <c r="O97" s="4"/>
      <c r="P97" s="4"/>
    </row>
  </sheetData>
  <mergeCells count="1">
    <mergeCell ref="P1:Q1"/>
  </mergeCells>
  <printOptions horizontalCentered="1"/>
  <pageMargins left="0.5" right="0.5" top="0.5" bottom="0.6" header="0.3" footer="0.4"/>
  <pageSetup fitToHeight="1" fitToWidth="1" horizontalDpi="600" verticalDpi="600" orientation="landscape" scale="69" r:id="rId2"/>
  <headerFooter alignWithMargins="0">
    <oddHeader xml:space="preserve">&amp;CSpreadsheet by Agilent Technologies&amp;R </oddHeader>
    <oddFooter>&amp;L&amp;F tab &amp;A page &amp;P of &amp;N&amp;RPrinted &amp;T 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7"/>
  <sheetViews>
    <sheetView showGridLines="0" showOutlineSymbols="0" zoomScale="70" zoomScaleNormal="70" workbookViewId="0" topLeftCell="A1">
      <selection activeCell="A3" sqref="A3"/>
    </sheetView>
  </sheetViews>
  <sheetFormatPr defaultColWidth="9.140625" defaultRowHeight="12.75"/>
  <cols>
    <col min="1" max="1" width="10.7109375" style="5" customWidth="1"/>
    <col min="2" max="3" width="10.8515625" style="5" customWidth="1"/>
    <col min="4" max="4" width="9.7109375" style="5" customWidth="1"/>
    <col min="5" max="5" width="10.7109375" style="5" customWidth="1"/>
    <col min="6" max="6" width="6.57421875" style="5" customWidth="1"/>
    <col min="7" max="8" width="6.7109375" style="5" customWidth="1"/>
    <col min="9" max="9" width="7.28125" style="5" customWidth="1"/>
    <col min="10" max="10" width="7.7109375" style="5" customWidth="1"/>
    <col min="11" max="11" width="7.28125" style="5" customWidth="1"/>
    <col min="12" max="12" width="6.57421875" style="5" customWidth="1"/>
    <col min="13" max="14" width="6.28125" style="5" customWidth="1"/>
    <col min="15" max="17" width="7.7109375" style="5" customWidth="1"/>
    <col min="18" max="18" width="8.421875" style="56" customWidth="1"/>
    <col min="19" max="19" width="6.57421875" style="5" customWidth="1"/>
    <col min="20" max="20" width="7.28125" style="7" customWidth="1"/>
    <col min="21" max="21" width="7.421875" style="5" customWidth="1"/>
    <col min="22" max="22" width="7.7109375" style="5" customWidth="1"/>
    <col min="23" max="23" width="11.140625" style="10" customWidth="1"/>
    <col min="24" max="24" width="8.8515625" style="10" customWidth="1"/>
    <col min="25" max="25" width="8.140625" style="5" customWidth="1"/>
    <col min="26" max="26" width="7.57421875" style="5" customWidth="1"/>
    <col min="27" max="27" width="10.00390625" style="166" customWidth="1"/>
    <col min="28" max="28" width="6.00390625" style="5" customWidth="1"/>
    <col min="29" max="29" width="6.7109375" style="5" customWidth="1"/>
    <col min="30" max="30" width="7.140625" style="5" customWidth="1"/>
    <col min="31" max="32" width="10.00390625" style="5" customWidth="1"/>
    <col min="33" max="16384" width="11.140625" style="5" customWidth="1"/>
  </cols>
  <sheetData>
    <row r="1" spans="1:32" s="133" customFormat="1" ht="15">
      <c r="A1" s="130" t="s">
        <v>121</v>
      </c>
      <c r="B1" s="113"/>
      <c r="C1" s="113"/>
      <c r="D1" s="113"/>
      <c r="E1" s="117"/>
      <c r="F1" s="117"/>
      <c r="G1" s="117"/>
      <c r="H1" s="117"/>
      <c r="I1" s="117"/>
      <c r="J1" s="117"/>
      <c r="K1" s="117"/>
      <c r="L1" s="131" t="s">
        <v>76</v>
      </c>
      <c r="M1" s="113" t="s">
        <v>149</v>
      </c>
      <c r="N1" s="117"/>
      <c r="O1" s="138" t="s">
        <v>60</v>
      </c>
      <c r="P1" s="260">
        <f>Notes!D17</f>
        <v>36714</v>
      </c>
      <c r="Q1" s="261"/>
      <c r="R1" s="224" t="s">
        <v>1</v>
      </c>
      <c r="S1" s="230"/>
      <c r="T1" s="234" t="s">
        <v>145</v>
      </c>
      <c r="U1" s="230" t="str">
        <f>Notes!A1</f>
        <v>5pmd047.xls</v>
      </c>
      <c r="V1" s="223"/>
      <c r="W1" s="231">
        <f>Notes!D1</f>
        <v>36714</v>
      </c>
      <c r="Z1" s="51"/>
      <c r="AA1" s="164"/>
      <c r="AB1" s="226"/>
      <c r="AC1" s="51"/>
      <c r="AD1" s="51"/>
      <c r="AE1" s="51"/>
      <c r="AF1" s="51"/>
    </row>
    <row r="2" spans="1:32" ht="15.75">
      <c r="A2" s="62" t="s">
        <v>2</v>
      </c>
      <c r="B2" s="121" t="s">
        <v>3</v>
      </c>
      <c r="C2" s="73"/>
      <c r="D2" s="65"/>
      <c r="E2" s="73"/>
      <c r="F2" s="73"/>
      <c r="G2" s="62"/>
      <c r="H2" s="61"/>
      <c r="I2" s="65" t="s">
        <v>104</v>
      </c>
      <c r="J2" s="137">
        <v>10</v>
      </c>
      <c r="K2" s="61" t="s">
        <v>105</v>
      </c>
      <c r="L2" s="61"/>
      <c r="M2" s="73"/>
      <c r="N2" s="61"/>
      <c r="O2" s="62" t="s">
        <v>110</v>
      </c>
      <c r="P2" s="146">
        <f>1000000/$P$6</f>
        <v>299.5</v>
      </c>
      <c r="Q2" s="61" t="s">
        <v>99</v>
      </c>
      <c r="R2" s="250" t="str">
        <f>Notes!G17</f>
        <v>2.3.5</v>
      </c>
      <c r="S2" s="46"/>
      <c r="T2" s="235"/>
      <c r="U2" s="46"/>
      <c r="V2" s="232" t="s">
        <v>1</v>
      </c>
      <c r="W2" s="233" t="str">
        <f>Notes!F1</f>
        <v>0.4.7</v>
      </c>
      <c r="X2" s="6"/>
      <c r="Y2" s="1"/>
      <c r="Z2" s="1"/>
      <c r="AA2" s="165"/>
      <c r="AB2" s="66"/>
      <c r="AC2" s="1"/>
      <c r="AD2" s="1"/>
      <c r="AE2" s="1"/>
      <c r="AF2" s="1"/>
    </row>
    <row r="3" spans="1:32" ht="15" customHeight="1">
      <c r="A3" s="73"/>
      <c r="B3" s="73"/>
      <c r="C3" s="73"/>
      <c r="D3" s="65" t="s">
        <v>5</v>
      </c>
      <c r="E3" s="152">
        <v>1000000</v>
      </c>
      <c r="F3" s="61"/>
      <c r="G3" s="61"/>
      <c r="H3" s="73"/>
      <c r="I3" s="62" t="s">
        <v>107</v>
      </c>
      <c r="J3" s="120">
        <v>7.5</v>
      </c>
      <c r="K3" s="73" t="s">
        <v>105</v>
      </c>
      <c r="L3" s="61"/>
      <c r="M3" s="73"/>
      <c r="N3" s="61"/>
      <c r="O3" s="62" t="s">
        <v>4</v>
      </c>
      <c r="P3" s="49">
        <f>IF($B$4&gt;1000,$E$6/1.5,$E$6/3.5)</f>
        <v>0.3333333333333333</v>
      </c>
      <c r="Q3" s="61"/>
      <c r="R3" s="81"/>
      <c r="S3" s="85"/>
      <c r="T3" s="82"/>
      <c r="U3" s="67"/>
      <c r="V3" s="73"/>
      <c r="W3" s="66"/>
      <c r="X3" s="6"/>
      <c r="Y3" s="1"/>
      <c r="Z3" s="1"/>
      <c r="AA3" s="165"/>
      <c r="AB3" s="84"/>
      <c r="AC3" s="1"/>
      <c r="AD3" s="1"/>
      <c r="AE3" s="1"/>
      <c r="AF3" s="1"/>
    </row>
    <row r="4" spans="1:32" ht="15" customHeight="1">
      <c r="A4" s="62" t="s">
        <v>55</v>
      </c>
      <c r="B4" s="86">
        <v>1270</v>
      </c>
      <c r="C4" s="73"/>
      <c r="D4" s="65" t="s">
        <v>9</v>
      </c>
      <c r="E4" s="83">
        <v>0.093</v>
      </c>
      <c r="F4" s="61"/>
      <c r="G4" s="61"/>
      <c r="H4" s="73"/>
      <c r="I4" s="62" t="s">
        <v>108</v>
      </c>
      <c r="J4" s="219">
        <v>0.25</v>
      </c>
      <c r="K4" s="61" t="s">
        <v>105</v>
      </c>
      <c r="L4" s="61"/>
      <c r="M4" s="61"/>
      <c r="N4" s="61"/>
      <c r="O4" s="62" t="s">
        <v>6</v>
      </c>
      <c r="P4" s="146">
        <f>B7*1.518</f>
        <v>151.8</v>
      </c>
      <c r="Q4" s="73" t="s">
        <v>99</v>
      </c>
      <c r="R4" s="87" t="s">
        <v>7</v>
      </c>
      <c r="S4" s="85"/>
      <c r="T4" s="82"/>
      <c r="U4" s="67"/>
      <c r="V4" s="73"/>
      <c r="W4" s="66"/>
      <c r="X4" s="6"/>
      <c r="Y4" s="1"/>
      <c r="Z4" s="1"/>
      <c r="AA4" s="165"/>
      <c r="AB4" s="85"/>
      <c r="AC4" s="1"/>
      <c r="AD4" s="1"/>
      <c r="AE4" s="1"/>
      <c r="AF4" s="1"/>
    </row>
    <row r="5" spans="1:32" ht="15" customHeight="1">
      <c r="A5" s="62" t="s">
        <v>8</v>
      </c>
      <c r="B5" s="88">
        <v>0.62</v>
      </c>
      <c r="C5" s="73"/>
      <c r="D5" s="65" t="s">
        <v>56</v>
      </c>
      <c r="E5" s="83">
        <v>1324</v>
      </c>
      <c r="F5" s="61"/>
      <c r="G5" s="61"/>
      <c r="H5" s="73"/>
      <c r="I5" s="62" t="s">
        <v>12</v>
      </c>
      <c r="J5" s="89">
        <v>480</v>
      </c>
      <c r="K5" s="61" t="s">
        <v>103</v>
      </c>
      <c r="L5" s="73"/>
      <c r="M5" s="67"/>
      <c r="N5" s="61"/>
      <c r="O5" s="62" t="s">
        <v>10</v>
      </c>
      <c r="P5" s="97">
        <v>0.7</v>
      </c>
      <c r="Q5" s="61"/>
      <c r="R5" s="87" t="s">
        <v>11</v>
      </c>
      <c r="S5" s="81"/>
      <c r="T5" s="82"/>
      <c r="U5" s="67"/>
      <c r="V5" s="73"/>
      <c r="W5" s="66"/>
      <c r="X5" s="6"/>
      <c r="Y5" s="1"/>
      <c r="Z5" s="1"/>
      <c r="AA5" s="165"/>
      <c r="AB5" s="85"/>
      <c r="AC5" s="1"/>
      <c r="AD5" s="1"/>
      <c r="AE5" s="1"/>
      <c r="AF5" s="1"/>
    </row>
    <row r="6" spans="1:32" ht="15" customHeight="1">
      <c r="A6" s="62" t="s">
        <v>74</v>
      </c>
      <c r="B6" s="83">
        <v>7</v>
      </c>
      <c r="C6" s="73" t="s">
        <v>63</v>
      </c>
      <c r="D6" s="65" t="s">
        <v>95</v>
      </c>
      <c r="E6" s="83">
        <v>0.5</v>
      </c>
      <c r="F6" s="61" t="str">
        <f>"dB/km at "&amp;IF(B4&lt;1000,850,1300)&amp;" nm"</f>
        <v>dB/km at 1300 nm</v>
      </c>
      <c r="G6" s="61"/>
      <c r="H6" s="73"/>
      <c r="I6" s="62" t="s">
        <v>15</v>
      </c>
      <c r="J6" s="88">
        <v>7.037</v>
      </c>
      <c r="K6" s="61"/>
      <c r="L6" s="61"/>
      <c r="M6" s="67"/>
      <c r="N6" s="61"/>
      <c r="O6" s="65" t="s">
        <v>13</v>
      </c>
      <c r="P6" s="90">
        <f>(P7)</f>
        <v>3338.89816360601</v>
      </c>
      <c r="Q6" s="66"/>
      <c r="R6" s="85"/>
      <c r="S6" s="66" t="s">
        <v>47</v>
      </c>
      <c r="T6" s="52">
        <f>$E$9-$E$10</f>
        <v>7</v>
      </c>
      <c r="U6" s="246" t="s">
        <v>63</v>
      </c>
      <c r="V6" s="73"/>
      <c r="W6" s="66"/>
      <c r="Y6" s="175" t="s">
        <v>127</v>
      </c>
      <c r="Z6" s="176">
        <f>$Z$8*$P$2/(SQRT(8)*$T$9)</f>
        <v>2.0622653750541255</v>
      </c>
      <c r="AA6" s="177" t="s">
        <v>77</v>
      </c>
      <c r="AB6" s="61"/>
      <c r="AC6" s="1"/>
      <c r="AD6" s="1"/>
      <c r="AE6" s="1"/>
      <c r="AF6" s="1"/>
    </row>
    <row r="7" spans="1:32" ht="15" customHeight="1">
      <c r="A7" s="62" t="s">
        <v>14</v>
      </c>
      <c r="B7" s="83">
        <v>100</v>
      </c>
      <c r="C7" s="73" t="s">
        <v>99</v>
      </c>
      <c r="D7" s="62" t="s">
        <v>96</v>
      </c>
      <c r="E7" s="155">
        <v>3125</v>
      </c>
      <c r="F7" s="73" t="s">
        <v>101</v>
      </c>
      <c r="G7" s="67"/>
      <c r="H7" s="67"/>
      <c r="I7" s="65" t="s">
        <v>100</v>
      </c>
      <c r="J7" s="154">
        <f>2.5*10^5/$E$7</f>
        <v>80</v>
      </c>
      <c r="K7" s="67" t="s">
        <v>99</v>
      </c>
      <c r="L7" s="61"/>
      <c r="M7" s="67"/>
      <c r="N7" s="61"/>
      <c r="O7" s="65" t="s">
        <v>16</v>
      </c>
      <c r="P7" s="91">
        <f>1/((1/$E$7)-$J$8*10^-6)</f>
        <v>3338.89816360601</v>
      </c>
      <c r="Q7" s="66"/>
      <c r="R7" s="85"/>
      <c r="S7" s="93" t="s">
        <v>33</v>
      </c>
      <c r="T7" s="118">
        <f>AE36</f>
        <v>0.1751155989600841</v>
      </c>
      <c r="U7" s="94" t="str">
        <f>"dB at target "&amp;J2&amp;" km"</f>
        <v>dB at target 10 km</v>
      </c>
      <c r="V7" s="73"/>
      <c r="W7" s="122"/>
      <c r="Y7" s="175" t="s">
        <v>128</v>
      </c>
      <c r="Z7" s="178">
        <f>IF(ABS($Z$6)&lt;10,SIGN($Z$6)*ERF(ABS($Z$6)),SIGN($Z$6))</f>
        <v>0.9964599872530325</v>
      </c>
      <c r="AA7" s="177" t="s">
        <v>77</v>
      </c>
      <c r="AB7" s="61"/>
      <c r="AC7" s="1"/>
      <c r="AD7" s="1"/>
      <c r="AE7" s="1"/>
      <c r="AF7" s="1"/>
    </row>
    <row r="8" spans="1:32" ht="15" customHeight="1">
      <c r="A8" s="62" t="s">
        <v>86</v>
      </c>
      <c r="B8" s="83">
        <v>-120</v>
      </c>
      <c r="C8" s="105" t="s">
        <v>85</v>
      </c>
      <c r="D8" s="65" t="s">
        <v>97</v>
      </c>
      <c r="E8" s="152">
        <v>2500</v>
      </c>
      <c r="F8" s="73" t="s">
        <v>102</v>
      </c>
      <c r="G8" s="67"/>
      <c r="H8" s="61"/>
      <c r="I8" s="65" t="s">
        <v>19</v>
      </c>
      <c r="J8" s="83">
        <v>20.5</v>
      </c>
      <c r="K8" s="61"/>
      <c r="L8" s="61"/>
      <c r="M8" s="61"/>
      <c r="N8" s="61"/>
      <c r="O8" s="62" t="s">
        <v>17</v>
      </c>
      <c r="P8" s="63">
        <f>(10^-6)*$J$7*$P$7</f>
        <v>0.2671118530884808</v>
      </c>
      <c r="Q8" s="66"/>
      <c r="R8" s="85"/>
      <c r="S8" s="65" t="s">
        <v>112</v>
      </c>
      <c r="T8" s="49">
        <f>$P$3*((1/(0.00094*$B$4)^4)+1.05)</f>
        <v>0.5141165757917939</v>
      </c>
      <c r="U8" s="61" t="str">
        <f>"dB/km at "&amp;B4&amp;" nm"</f>
        <v>dB/km at 1270 nm</v>
      </c>
      <c r="V8" s="73"/>
      <c r="W8" s="66"/>
      <c r="Y8" s="175" t="s">
        <v>129</v>
      </c>
      <c r="Z8" s="179">
        <v>2.563</v>
      </c>
      <c r="AA8" s="177" t="s">
        <v>77</v>
      </c>
      <c r="AB8" s="61"/>
      <c r="AC8" s="1"/>
      <c r="AD8" s="1"/>
      <c r="AE8" s="1"/>
      <c r="AF8" s="1"/>
    </row>
    <row r="9" spans="1:32" ht="15" customHeight="1">
      <c r="A9" s="62" t="s">
        <v>18</v>
      </c>
      <c r="B9" s="83">
        <v>0.8</v>
      </c>
      <c r="C9" s="73"/>
      <c r="D9" s="65" t="s">
        <v>67</v>
      </c>
      <c r="E9" s="83">
        <v>9</v>
      </c>
      <c r="F9" s="73"/>
      <c r="G9" s="73"/>
      <c r="H9" s="61"/>
      <c r="I9" s="65" t="s">
        <v>22</v>
      </c>
      <c r="J9" s="129">
        <v>-7.5</v>
      </c>
      <c r="K9" s="67"/>
      <c r="L9" s="61"/>
      <c r="M9" s="67"/>
      <c r="N9" s="61"/>
      <c r="O9" s="62" t="s">
        <v>20</v>
      </c>
      <c r="P9" s="92">
        <f>(P8)</f>
        <v>0.2671118530884808</v>
      </c>
      <c r="Q9" s="66"/>
      <c r="R9" s="85"/>
      <c r="S9" s="93" t="s">
        <v>73</v>
      </c>
      <c r="T9" s="145">
        <f>T10*1000/$E$8</f>
        <v>131.6</v>
      </c>
      <c r="U9" s="94" t="s">
        <v>99</v>
      </c>
      <c r="V9" s="32"/>
      <c r="W9" s="41"/>
      <c r="Y9" s="180" t="s">
        <v>98</v>
      </c>
      <c r="Z9" s="202">
        <f>ERF(MAX(MIN($Z$8*$P$2*($P$9+1)/(SQRT(8)*$T$9),10),-10))+ERF(MAX(MIN($Z$8*$P$2*(1-$P$9)/(SQRT(8)*$T$9),10),-10))-1</f>
        <v>0.9672196550328276</v>
      </c>
      <c r="AA9" s="181" t="s">
        <v>77</v>
      </c>
      <c r="AB9" s="61"/>
      <c r="AC9" s="1"/>
      <c r="AD9" s="1"/>
      <c r="AE9" s="1"/>
      <c r="AF9" s="1"/>
    </row>
    <row r="10" spans="1:32" ht="15" customHeight="1">
      <c r="A10" s="62" t="s">
        <v>21</v>
      </c>
      <c r="B10" s="83">
        <v>0</v>
      </c>
      <c r="C10" s="73"/>
      <c r="D10" s="65" t="s">
        <v>68</v>
      </c>
      <c r="E10" s="83">
        <v>2</v>
      </c>
      <c r="F10" s="73"/>
      <c r="G10" s="62"/>
      <c r="H10" s="61"/>
      <c r="I10" s="62" t="s">
        <v>26</v>
      </c>
      <c r="J10" s="119">
        <v>7</v>
      </c>
      <c r="K10" s="61"/>
      <c r="L10" s="61"/>
      <c r="M10" s="67"/>
      <c r="N10" s="61"/>
      <c r="O10" s="62" t="s">
        <v>23</v>
      </c>
      <c r="P10" s="49">
        <f>S35-$T$6</f>
        <v>1.9362773202126426</v>
      </c>
      <c r="Q10" s="67" t="s">
        <v>24</v>
      </c>
      <c r="R10" s="85"/>
      <c r="S10" s="211" t="s">
        <v>171</v>
      </c>
      <c r="T10" s="247">
        <v>329</v>
      </c>
      <c r="U10" s="248" t="s">
        <v>103</v>
      </c>
      <c r="V10" s="73"/>
      <c r="W10" s="106" t="s">
        <v>25</v>
      </c>
      <c r="X10" s="66"/>
      <c r="Y10" s="61"/>
      <c r="Z10" s="73"/>
      <c r="AA10" s="158"/>
      <c r="AB10" s="61"/>
      <c r="AC10" s="1"/>
      <c r="AD10" s="1"/>
      <c r="AE10" s="1"/>
      <c r="AF10" s="1"/>
    </row>
    <row r="11" spans="1:32" ht="15" customHeight="1">
      <c r="A11" s="32"/>
      <c r="B11" s="32"/>
      <c r="C11" s="32"/>
      <c r="D11" s="33"/>
      <c r="E11" s="33"/>
      <c r="F11" s="33"/>
      <c r="G11" s="33"/>
      <c r="H11" s="33"/>
      <c r="I11" s="34" t="s">
        <v>75</v>
      </c>
      <c r="J11" s="35">
        <v>0</v>
      </c>
      <c r="K11" s="36" t="s">
        <v>66</v>
      </c>
      <c r="L11" s="37"/>
      <c r="M11" s="37"/>
      <c r="N11" s="33"/>
      <c r="O11" s="38" t="s">
        <v>62</v>
      </c>
      <c r="P11" s="39">
        <f>10*LOG10(1/SQRT(1-($J$6*J11)^2))</f>
        <v>0</v>
      </c>
      <c r="Q11" s="36" t="s">
        <v>63</v>
      </c>
      <c r="R11" s="57"/>
      <c r="S11" s="38" t="s">
        <v>61</v>
      </c>
      <c r="T11" s="40">
        <f>10*LOG10(1/SQRT(1-($J$6*$J$11/$Z$9)^2))</f>
        <v>0</v>
      </c>
      <c r="U11" s="249" t="s">
        <v>63</v>
      </c>
      <c r="V11" s="73"/>
      <c r="W11" s="95" t="s">
        <v>27</v>
      </c>
      <c r="X11" s="6" t="s">
        <v>28</v>
      </c>
      <c r="Y11" s="12" t="s">
        <v>34</v>
      </c>
      <c r="Z11" s="12" t="s">
        <v>29</v>
      </c>
      <c r="AA11" s="159" t="s">
        <v>78</v>
      </c>
      <c r="AB11" s="61"/>
      <c r="AC11" s="1"/>
      <c r="AD11" s="1"/>
      <c r="AE11" s="1"/>
      <c r="AF11" s="1"/>
    </row>
    <row r="12" spans="1:35" ht="15" customHeight="1">
      <c r="A12" s="123" t="s">
        <v>88</v>
      </c>
      <c r="B12" s="66" t="s">
        <v>57</v>
      </c>
      <c r="C12" s="66" t="s">
        <v>36</v>
      </c>
      <c r="D12" s="72" t="s">
        <v>80</v>
      </c>
      <c r="E12" s="72" t="s">
        <v>81</v>
      </c>
      <c r="F12" s="73" t="s">
        <v>82</v>
      </c>
      <c r="G12" s="73" t="s">
        <v>83</v>
      </c>
      <c r="H12" s="64" t="s">
        <v>37</v>
      </c>
      <c r="I12" s="65" t="s">
        <v>38</v>
      </c>
      <c r="J12" s="66" t="s">
        <v>39</v>
      </c>
      <c r="K12" s="67" t="s">
        <v>40</v>
      </c>
      <c r="L12" s="65" t="s">
        <v>41</v>
      </c>
      <c r="M12" s="65" t="s">
        <v>42</v>
      </c>
      <c r="N12" s="65" t="s">
        <v>43</v>
      </c>
      <c r="O12" s="68" t="s">
        <v>79</v>
      </c>
      <c r="P12" s="65" t="s">
        <v>44</v>
      </c>
      <c r="Q12" s="65" t="s">
        <v>45</v>
      </c>
      <c r="R12" s="69" t="s">
        <v>46</v>
      </c>
      <c r="S12" s="70" t="s">
        <v>48</v>
      </c>
      <c r="T12" s="68" t="s">
        <v>49</v>
      </c>
      <c r="U12" s="67" t="s">
        <v>50</v>
      </c>
      <c r="V12" s="71" t="s">
        <v>33</v>
      </c>
      <c r="W12" s="243" t="s">
        <v>32</v>
      </c>
      <c r="X12" s="6" t="s">
        <v>33</v>
      </c>
      <c r="Y12" s="10" t="s">
        <v>89</v>
      </c>
      <c r="Z12" s="6" t="s">
        <v>35</v>
      </c>
      <c r="AA12" s="159" t="s">
        <v>65</v>
      </c>
      <c r="AB12" s="66" t="s">
        <v>47</v>
      </c>
      <c r="AC12" s="165" t="s">
        <v>136</v>
      </c>
      <c r="AD12" s="1"/>
      <c r="AE12" s="153" t="s">
        <v>113</v>
      </c>
      <c r="AF12" s="182" t="s">
        <v>130</v>
      </c>
      <c r="AG12" s="189" t="s">
        <v>131</v>
      </c>
      <c r="AH12" s="166" t="s">
        <v>132</v>
      </c>
      <c r="AI12" s="166" t="s">
        <v>133</v>
      </c>
    </row>
    <row r="13" spans="1:35" s="33" customFormat="1" ht="15" customHeight="1">
      <c r="A13" s="124" t="s">
        <v>87</v>
      </c>
      <c r="B13" s="42" t="s">
        <v>58</v>
      </c>
      <c r="C13" s="42" t="s">
        <v>58</v>
      </c>
      <c r="D13" s="43" t="s">
        <v>84</v>
      </c>
      <c r="E13" s="43" t="s">
        <v>84</v>
      </c>
      <c r="F13" s="32" t="s">
        <v>109</v>
      </c>
      <c r="G13" s="32" t="s">
        <v>109</v>
      </c>
      <c r="H13" s="44" t="s">
        <v>30</v>
      </c>
      <c r="I13" s="45" t="s">
        <v>30</v>
      </c>
      <c r="J13" s="32"/>
      <c r="K13" s="46"/>
      <c r="L13" s="45" t="s">
        <v>30</v>
      </c>
      <c r="M13" s="45"/>
      <c r="N13" s="45" t="s">
        <v>30</v>
      </c>
      <c r="O13" s="45" t="s">
        <v>30</v>
      </c>
      <c r="P13" s="45" t="s">
        <v>30</v>
      </c>
      <c r="Q13" s="45" t="s">
        <v>30</v>
      </c>
      <c r="R13" s="58" t="s">
        <v>30</v>
      </c>
      <c r="S13" s="46" t="s">
        <v>30</v>
      </c>
      <c r="T13" s="47" t="s">
        <v>30</v>
      </c>
      <c r="U13" s="47" t="s">
        <v>31</v>
      </c>
      <c r="V13" s="48" t="s">
        <v>30</v>
      </c>
      <c r="W13" s="96" t="s">
        <v>51</v>
      </c>
      <c r="X13" s="42" t="s">
        <v>52</v>
      </c>
      <c r="Y13" s="42" t="s">
        <v>30</v>
      </c>
      <c r="Z13" s="42" t="s">
        <v>53</v>
      </c>
      <c r="AA13" s="160" t="s">
        <v>64</v>
      </c>
      <c r="AB13" s="42" t="s">
        <v>30</v>
      </c>
      <c r="AC13" s="139" t="s">
        <v>135</v>
      </c>
      <c r="AD13" s="140" t="s">
        <v>106</v>
      </c>
      <c r="AE13" s="140" t="s">
        <v>134</v>
      </c>
      <c r="AF13" s="183" t="s">
        <v>64</v>
      </c>
      <c r="AG13" s="190" t="s">
        <v>64</v>
      </c>
      <c r="AH13" s="190" t="s">
        <v>64</v>
      </c>
      <c r="AI13" s="190" t="s">
        <v>64</v>
      </c>
    </row>
    <row r="14" spans="1:35" s="117" customFormat="1" ht="15" customHeight="1">
      <c r="A14" s="125">
        <v>0.002</v>
      </c>
      <c r="B14" s="110">
        <f aca="true" t="shared" si="0" ref="B14:B35">0.25*$E$4*$B$4*(1-($E$5/$B$4)^4)</f>
        <v>-5.35147669302665</v>
      </c>
      <c r="C14" s="132">
        <f aca="true" t="shared" si="1" ref="C14:C35">0.7*$E$4*$B$5</f>
        <v>0.040361999999999995</v>
      </c>
      <c r="D14" s="111">
        <f aca="true" t="shared" si="2" ref="D14:D35">(0.187/(A14*$B$5))*(10^6/SQRT(B14^2+C14^2))</f>
        <v>28179542.046173353</v>
      </c>
      <c r="E14" s="111">
        <f aca="true" t="shared" si="3" ref="E14:E35">$E$3/A14</f>
        <v>500000000</v>
      </c>
      <c r="F14" s="147">
        <f>SQRT(($J$5/D14)^2+($J$5/E14)^2+$P$4^2)</f>
        <v>151.80000000000098</v>
      </c>
      <c r="G14" s="147">
        <f aca="true" t="shared" si="4" ref="G14:G35">SQRT(F14^2+$T$9^2)</f>
        <v>200.90246389728597</v>
      </c>
      <c r="H14" s="112">
        <f aca="true" t="shared" si="5" ref="H14:H35">-10*LOG10(2*AG14-1)</f>
        <v>0.5166374602760484</v>
      </c>
      <c r="I14" s="110">
        <f aca="true" t="shared" si="6" ref="I14:I35">A14*$P$3*((1/(0.00094*$B$4)^4)+1.05)</f>
        <v>0.0010282331515835878</v>
      </c>
      <c r="J14" s="113">
        <f aca="true" t="shared" si="7" ref="J14:J35">(10^-6)*3.14*$E$7*B14*A14*$B$5</f>
        <v>-6.511409266240177E-05</v>
      </c>
      <c r="K14" s="110">
        <f aca="true" t="shared" si="8" ref="K14:K35">($B$9/SQRT(2))*(1-EXP(-1*J14^2))</f>
        <v>2.3984185378640743E-09</v>
      </c>
      <c r="L14" s="110">
        <f aca="true" t="shared" si="9" ref="L14:L35">10*LOG10(1/SQRT(1-($J$6*K14)^2))</f>
        <v>9.64327466553287E-16</v>
      </c>
      <c r="M14" s="110"/>
      <c r="N14" s="110"/>
      <c r="O14" s="110">
        <f aca="true" t="shared" si="10" ref="O14:O35">10*LOG10(1/SQRT(1-($J$6*$J$6*((($J$11/AA14)^2)+M14+(K14*K14)))))-$T$11-L14-N14</f>
        <v>0</v>
      </c>
      <c r="P14" s="110">
        <f aca="true" t="shared" si="11" ref="P14:P35">Y14-Z14</f>
        <v>0</v>
      </c>
      <c r="Q14" s="110">
        <f aca="true" t="shared" si="12" ref="Q14:Q35">$B$10</f>
        <v>0</v>
      </c>
      <c r="R14" s="212">
        <f aca="true" t="shared" si="13" ref="R14:R35">-10*LOG10(AA14)-H14</f>
        <v>0.3291774000950327</v>
      </c>
      <c r="S14" s="157">
        <f aca="true" t="shared" si="14" ref="S14:S35">H14+I14+L14+N14+O14+P14+Q14+R14</f>
        <v>0.8468430935226657</v>
      </c>
      <c r="T14" s="110">
        <f aca="true" t="shared" si="15" ref="T14:T35">$E$10+I14</f>
        <v>2.0010282331515836</v>
      </c>
      <c r="U14" s="110">
        <f aca="true" t="shared" si="16" ref="U14:U35">S14-I14</f>
        <v>0.8458148603710821</v>
      </c>
      <c r="V14" s="115">
        <f aca="true" t="shared" si="17" ref="V14:V35">$T$6-S14</f>
        <v>6.153156906477334</v>
      </c>
      <c r="W14" s="116">
        <f aca="true" t="shared" si="18" ref="W14:W35">$J$9-T14-R14-P14</f>
        <v>-9.830205633246615</v>
      </c>
      <c r="X14" s="114"/>
      <c r="Y14" s="110">
        <f aca="true" t="shared" si="19" ref="Y14:Y35">10*LOG10((1+10^(-($B$6/10)))/(1-10^(-($B$6/10))))</f>
        <v>1.7566264497877127</v>
      </c>
      <c r="Z14" s="110">
        <f aca="true" t="shared" si="20" ref="Z14:Z35">10*LOG10((1+10^(-($J$10/10)))/(1-10^(-($J$10/10))))</f>
        <v>1.7566264497877127</v>
      </c>
      <c r="AA14" s="184">
        <f>ERF(AH14)+ERF(AI14)-1</f>
        <v>0.823035397507891</v>
      </c>
      <c r="AB14" s="114">
        <f aca="true" t="shared" si="21" ref="AB14:AB35">$E$9-$E$10</f>
        <v>7</v>
      </c>
      <c r="AC14" s="141"/>
      <c r="AD14" s="142"/>
      <c r="AE14" s="113"/>
      <c r="AF14" s="187">
        <f aca="true" t="shared" si="22" ref="AF14:AF35">$Z$8*$P$2/(SQRT(8)*G14)</f>
        <v>1.3508750370322822</v>
      </c>
      <c r="AG14" s="191">
        <f>IF(ABS(AF14)&lt;10,SIGN(AF14)*ERF(ABS(AF14)),SIGN(AF14))</f>
        <v>0.9439215807811381</v>
      </c>
      <c r="AH14" s="197">
        <f aca="true" t="shared" si="23" ref="AH14:AH35">MAX(MIN($Z$8*$P$2*($P$9+1)/(SQRT(8)*G14),10),-10)</f>
        <v>1.7117097714649454</v>
      </c>
      <c r="AI14" s="198">
        <f aca="true" t="shared" si="24" ref="AI14:AI35">MAX(MIN($Z$8*$P$2*(1-$P$9)/(SQRT(8)*G14),10),-10)</f>
        <v>0.9900403025996191</v>
      </c>
    </row>
    <row r="15" spans="1:35" s="20" customFormat="1" ht="15" customHeight="1">
      <c r="A15" s="126">
        <f>$J$3</f>
        <v>7.5</v>
      </c>
      <c r="B15" s="97">
        <f t="shared" si="0"/>
        <v>-5.35147669302665</v>
      </c>
      <c r="C15" s="134">
        <f t="shared" si="1"/>
        <v>0.040361999999999995</v>
      </c>
      <c r="D15" s="149">
        <f t="shared" si="2"/>
        <v>7514.544545646227</v>
      </c>
      <c r="E15" s="149">
        <f t="shared" si="3"/>
        <v>133333.33333333334</v>
      </c>
      <c r="F15" s="107">
        <f aca="true" t="shared" si="25" ref="F15:F35">SQRT((1000*$J$5/D15)^2+(1000*$J$5/E15)^2+$P$4^2)</f>
        <v>164.73117364620586</v>
      </c>
      <c r="G15" s="174">
        <f t="shared" si="4"/>
        <v>210.84335315787507</v>
      </c>
      <c r="H15" s="100">
        <f t="shared" si="5"/>
        <v>0.6419592512973259</v>
      </c>
      <c r="I15" s="97">
        <f t="shared" si="6"/>
        <v>3.8558743184384547</v>
      </c>
      <c r="J15" s="97">
        <f t="shared" si="7"/>
        <v>-0.24417784748400662</v>
      </c>
      <c r="K15" s="97">
        <f t="shared" si="8"/>
        <v>0.03274197750208656</v>
      </c>
      <c r="L15" s="97">
        <f t="shared" si="9"/>
        <v>0.11844868863096122</v>
      </c>
      <c r="M15" s="97">
        <f aca="true" t="shared" si="26" ref="M15:M35">$P$5*10^9*($J$5/G15)*10^($B$8/10)</f>
        <v>0.0015936001537046806</v>
      </c>
      <c r="N15" s="97">
        <f aca="true" t="shared" si="27" ref="N15:N35">10*LOG10(1/SQRT(1-($J$6^2)*M15))</f>
        <v>0.17849926798767515</v>
      </c>
      <c r="O15" s="97">
        <f t="shared" si="10"/>
        <v>0.010455104463820863</v>
      </c>
      <c r="P15" s="97">
        <f t="shared" si="11"/>
        <v>0</v>
      </c>
      <c r="Q15" s="97">
        <f t="shared" si="12"/>
        <v>0</v>
      </c>
      <c r="R15" s="203">
        <f t="shared" si="13"/>
        <v>0.34478725144342803</v>
      </c>
      <c r="S15" s="98">
        <f t="shared" si="14"/>
        <v>5.1500238822616655</v>
      </c>
      <c r="T15" s="97">
        <f t="shared" si="15"/>
        <v>5.855874318438454</v>
      </c>
      <c r="U15" s="97">
        <f t="shared" si="16"/>
        <v>1.2941495638232108</v>
      </c>
      <c r="V15" s="102">
        <f t="shared" si="17"/>
        <v>1.8499761177383345</v>
      </c>
      <c r="W15" s="103">
        <f t="shared" si="18"/>
        <v>-13.700661569881882</v>
      </c>
      <c r="X15" s="19"/>
      <c r="Y15" s="18">
        <f t="shared" si="19"/>
        <v>1.7566264497877127</v>
      </c>
      <c r="Z15" s="18">
        <f t="shared" si="20"/>
        <v>1.7566264497877127</v>
      </c>
      <c r="AA15" s="215">
        <f>ERF(AH15)+ERF(AI15)-1</f>
        <v>0.796756013021005</v>
      </c>
      <c r="AB15" s="101">
        <f t="shared" si="21"/>
        <v>7</v>
      </c>
      <c r="AC15" s="192">
        <f aca="true" t="shared" si="28" ref="AC15:AC35">$J$2</f>
        <v>10</v>
      </c>
      <c r="AD15" s="194">
        <v>0</v>
      </c>
      <c r="AE15" s="207">
        <f aca="true" t="shared" si="29" ref="AE15:AE35">IF(A15=$J$2,V15,0)</f>
        <v>0</v>
      </c>
      <c r="AF15" s="161">
        <f t="shared" si="22"/>
        <v>1.2871836806442205</v>
      </c>
      <c r="AG15" s="185">
        <f>IF(ABS(AF15)&lt;10,SIGN(AF15)*ERF(ABS(AF15)),SIGN(AF15))</f>
        <v>0.9312946581814697</v>
      </c>
      <c r="AH15" s="200">
        <f t="shared" si="23"/>
        <v>1.6310056988463497</v>
      </c>
      <c r="AI15" s="201">
        <f t="shared" si="24"/>
        <v>0.9433616624420914</v>
      </c>
    </row>
    <row r="16" spans="1:35" s="26" customFormat="1" ht="15" customHeight="1">
      <c r="A16" s="127">
        <f aca="true" t="shared" si="30" ref="A16:A35">A15+$J$4</f>
        <v>7.75</v>
      </c>
      <c r="B16" s="49">
        <f t="shared" si="0"/>
        <v>-5.35147669302665</v>
      </c>
      <c r="C16" s="135">
        <f t="shared" si="1"/>
        <v>0.040361999999999995</v>
      </c>
      <c r="D16" s="150">
        <f t="shared" si="2"/>
        <v>7272.139882883445</v>
      </c>
      <c r="E16" s="150">
        <f t="shared" si="3"/>
        <v>129032.25806451614</v>
      </c>
      <c r="F16" s="108">
        <f t="shared" si="25"/>
        <v>165.57107875334933</v>
      </c>
      <c r="G16" s="108">
        <f t="shared" si="4"/>
        <v>211.50021777659663</v>
      </c>
      <c r="H16" s="50">
        <f t="shared" si="5"/>
        <v>0.6506764968857708</v>
      </c>
      <c r="I16" s="49">
        <f t="shared" si="6"/>
        <v>3.984403462386403</v>
      </c>
      <c r="J16" s="49">
        <f t="shared" si="7"/>
        <v>-0.2523171090668069</v>
      </c>
      <c r="K16" s="49">
        <f t="shared" si="8"/>
        <v>0.03489131074438592</v>
      </c>
      <c r="L16" s="49">
        <f t="shared" si="9"/>
        <v>0.13501933406365316</v>
      </c>
      <c r="M16" s="49">
        <f t="shared" si="26"/>
        <v>0.0015886508464729332</v>
      </c>
      <c r="N16" s="49">
        <f t="shared" si="27"/>
        <v>0.1779215499705211</v>
      </c>
      <c r="O16" s="49">
        <f t="shared" si="10"/>
        <v>0.011927458779018185</v>
      </c>
      <c r="P16" s="49">
        <f t="shared" si="11"/>
        <v>0</v>
      </c>
      <c r="Q16" s="49">
        <f t="shared" si="12"/>
        <v>0</v>
      </c>
      <c r="R16" s="206">
        <f t="shared" si="13"/>
        <v>0.3456985050140028</v>
      </c>
      <c r="S16" s="53">
        <f t="shared" si="14"/>
        <v>5.305646807099369</v>
      </c>
      <c r="T16" s="49">
        <f t="shared" si="15"/>
        <v>5.984403462386403</v>
      </c>
      <c r="U16" s="49">
        <f t="shared" si="16"/>
        <v>1.3212433447129661</v>
      </c>
      <c r="V16" s="54">
        <f t="shared" si="17"/>
        <v>1.694353192900631</v>
      </c>
      <c r="W16" s="99">
        <f t="shared" si="18"/>
        <v>-13.830101967400406</v>
      </c>
      <c r="X16" s="25">
        <f aca="true" t="shared" si="31" ref="X16:X34">(V17-V15)/2</f>
        <v>-0.156717439514936</v>
      </c>
      <c r="Y16" s="23">
        <f t="shared" si="19"/>
        <v>1.7566264497877127</v>
      </c>
      <c r="Z16" s="23">
        <f t="shared" si="20"/>
        <v>1.7566264497877127</v>
      </c>
      <c r="AA16" s="214">
        <f>ERF(AH16)+ERF(AI16)-1</f>
        <v>0.7949915266864573</v>
      </c>
      <c r="AB16" s="52">
        <f t="shared" si="21"/>
        <v>7</v>
      </c>
      <c r="AC16" s="143">
        <f t="shared" si="28"/>
        <v>10</v>
      </c>
      <c r="AD16" s="144">
        <f aca="true" t="shared" si="32" ref="AD16:AD34">AD17</f>
        <v>8.9</v>
      </c>
      <c r="AE16" s="208">
        <f t="shared" si="29"/>
        <v>0</v>
      </c>
      <c r="AF16" s="162">
        <f t="shared" si="22"/>
        <v>1.2831860232115269</v>
      </c>
      <c r="AG16" s="186">
        <f>IF(ABS(AF16)&lt;10,SIGN(AF16)*ERF(ABS(AF16)),SIGN(AF16))</f>
        <v>0.9304298231761313</v>
      </c>
      <c r="AH16" s="202">
        <f t="shared" si="23"/>
        <v>1.6259402197287962</v>
      </c>
      <c r="AI16" s="202">
        <f t="shared" si="24"/>
        <v>0.9404318266942575</v>
      </c>
    </row>
    <row r="17" spans="1:35" s="26" customFormat="1" ht="15" customHeight="1">
      <c r="A17" s="127">
        <f t="shared" si="30"/>
        <v>8</v>
      </c>
      <c r="B17" s="49">
        <f t="shared" si="0"/>
        <v>-5.35147669302665</v>
      </c>
      <c r="C17" s="135">
        <f t="shared" si="1"/>
        <v>0.040361999999999995</v>
      </c>
      <c r="D17" s="150">
        <f t="shared" si="2"/>
        <v>7044.885511543338</v>
      </c>
      <c r="E17" s="150">
        <f t="shared" si="3"/>
        <v>125000</v>
      </c>
      <c r="F17" s="108">
        <f t="shared" si="25"/>
        <v>166.4340725017199</v>
      </c>
      <c r="G17" s="108">
        <f t="shared" si="4"/>
        <v>212.17648429905645</v>
      </c>
      <c r="H17" s="50">
        <f t="shared" si="5"/>
        <v>0.6597063998509206</v>
      </c>
      <c r="I17" s="49">
        <f t="shared" si="6"/>
        <v>4.112932606334351</v>
      </c>
      <c r="J17" s="49">
        <f t="shared" si="7"/>
        <v>-0.2604563706496071</v>
      </c>
      <c r="K17" s="49">
        <f t="shared" si="8"/>
        <v>0.03710201521970123</v>
      </c>
      <c r="L17" s="49">
        <f t="shared" si="9"/>
        <v>0.15330807478804437</v>
      </c>
      <c r="M17" s="49">
        <f t="shared" si="26"/>
        <v>0.0015835873664793972</v>
      </c>
      <c r="N17" s="49">
        <f t="shared" si="27"/>
        <v>0.17733066392175112</v>
      </c>
      <c r="O17" s="49">
        <f t="shared" si="10"/>
        <v>0.013558900660833928</v>
      </c>
      <c r="P17" s="49">
        <f t="shared" si="11"/>
        <v>0</v>
      </c>
      <c r="Q17" s="49">
        <f t="shared" si="12"/>
        <v>0</v>
      </c>
      <c r="R17" s="206">
        <f t="shared" si="13"/>
        <v>0.34662211573563717</v>
      </c>
      <c r="S17" s="53">
        <f t="shared" si="14"/>
        <v>5.4634587612915375</v>
      </c>
      <c r="T17" s="49">
        <f t="shared" si="15"/>
        <v>6.112932606334351</v>
      </c>
      <c r="U17" s="49">
        <f t="shared" si="16"/>
        <v>1.350526154957186</v>
      </c>
      <c r="V17" s="54">
        <f t="shared" si="17"/>
        <v>1.5365412387084625</v>
      </c>
      <c r="W17" s="99">
        <f t="shared" si="18"/>
        <v>-13.959554722069988</v>
      </c>
      <c r="X17" s="25">
        <f t="shared" si="31"/>
        <v>-0.15897900379708485</v>
      </c>
      <c r="Y17" s="23">
        <f t="shared" si="19"/>
        <v>1.7566264497877127</v>
      </c>
      <c r="Z17" s="23">
        <f t="shared" si="20"/>
        <v>1.7566264497877127</v>
      </c>
      <c r="AA17" s="214">
        <f>ERF(AH17)+ERF(AI17)-1</f>
        <v>0.7931715868729361</v>
      </c>
      <c r="AB17" s="52">
        <f t="shared" si="21"/>
        <v>7</v>
      </c>
      <c r="AC17" s="143">
        <f t="shared" si="28"/>
        <v>10</v>
      </c>
      <c r="AD17" s="144">
        <f t="shared" si="32"/>
        <v>8.9</v>
      </c>
      <c r="AE17" s="208">
        <f t="shared" si="29"/>
        <v>0</v>
      </c>
      <c r="AF17" s="162">
        <f t="shared" si="22"/>
        <v>1.2790961460865804</v>
      </c>
      <c r="AG17" s="186">
        <f>IF(ABS(AF17)&lt;10,SIGN(AF17)*ERF(ABS(AF17)),SIGN(AF17))</f>
        <v>0.9295357980803353</v>
      </c>
      <c r="AH17" s="202">
        <f t="shared" si="23"/>
        <v>1.620757887946101</v>
      </c>
      <c r="AI17" s="202">
        <f t="shared" si="24"/>
        <v>0.9374344042270596</v>
      </c>
    </row>
    <row r="18" spans="1:35" s="26" customFormat="1" ht="15" customHeight="1">
      <c r="A18" s="127">
        <f t="shared" si="30"/>
        <v>8.25</v>
      </c>
      <c r="B18" s="49">
        <f t="shared" si="0"/>
        <v>-5.35147669302665</v>
      </c>
      <c r="C18" s="135">
        <f t="shared" si="1"/>
        <v>0.040361999999999995</v>
      </c>
      <c r="D18" s="150">
        <f t="shared" si="2"/>
        <v>6831.404132405661</v>
      </c>
      <c r="E18" s="150">
        <f t="shared" si="3"/>
        <v>121212.12121212122</v>
      </c>
      <c r="F18" s="108">
        <f t="shared" si="25"/>
        <v>167.31979763535537</v>
      </c>
      <c r="G18" s="108">
        <f t="shared" si="4"/>
        <v>212.87196781336962</v>
      </c>
      <c r="H18" s="50">
        <f t="shared" si="5"/>
        <v>0.6690509085022772</v>
      </c>
      <c r="I18" s="49">
        <f t="shared" si="6"/>
        <v>4.2414617502823</v>
      </c>
      <c r="J18" s="49">
        <f t="shared" si="7"/>
        <v>-0.2685956322324073</v>
      </c>
      <c r="K18" s="49">
        <f t="shared" si="8"/>
        <v>0.03937325076635494</v>
      </c>
      <c r="L18" s="49">
        <f t="shared" si="9"/>
        <v>0.17344468252809805</v>
      </c>
      <c r="M18" s="49">
        <f t="shared" si="26"/>
        <v>0.0015784135574608861</v>
      </c>
      <c r="N18" s="49">
        <f t="shared" si="27"/>
        <v>0.17672706899188428</v>
      </c>
      <c r="O18" s="49">
        <f t="shared" si="10"/>
        <v>0.015363766179864041</v>
      </c>
      <c r="P18" s="49">
        <f t="shared" si="11"/>
        <v>0</v>
      </c>
      <c r="Q18" s="49">
        <f t="shared" si="12"/>
        <v>0</v>
      </c>
      <c r="R18" s="206">
        <f t="shared" si="13"/>
        <v>0.34755663820911475</v>
      </c>
      <c r="S18" s="53">
        <f t="shared" si="14"/>
        <v>5.623604814693539</v>
      </c>
      <c r="T18" s="49">
        <f t="shared" si="15"/>
        <v>6.2414617502823</v>
      </c>
      <c r="U18" s="49">
        <f t="shared" si="16"/>
        <v>1.3821430644112382</v>
      </c>
      <c r="V18" s="54">
        <f t="shared" si="17"/>
        <v>1.3763951853064613</v>
      </c>
      <c r="W18" s="99">
        <f t="shared" si="18"/>
        <v>-14.089018388491416</v>
      </c>
      <c r="X18" s="25">
        <f t="shared" si="31"/>
        <v>-0.1613911429180921</v>
      </c>
      <c r="Y18" s="23">
        <f t="shared" si="19"/>
        <v>1.7566264497877127</v>
      </c>
      <c r="Z18" s="23">
        <f t="shared" si="20"/>
        <v>1.7566264497877127</v>
      </c>
      <c r="AA18" s="214">
        <f>ERF(AH18)+ERF(AI18)-1</f>
        <v>0.791296500973063</v>
      </c>
      <c r="AB18" s="52">
        <f t="shared" si="21"/>
        <v>7</v>
      </c>
      <c r="AC18" s="143">
        <f t="shared" si="28"/>
        <v>10</v>
      </c>
      <c r="AD18" s="144">
        <f t="shared" si="32"/>
        <v>8.9</v>
      </c>
      <c r="AE18" s="208">
        <f t="shared" si="29"/>
        <v>0</v>
      </c>
      <c r="AF18" s="162">
        <f t="shared" si="22"/>
        <v>1.2749171539348065</v>
      </c>
      <c r="AG18" s="186">
        <f>IF(ABS(AF18)&lt;10,SIGN(AF18)*ERF(ABS(AF18)),SIGN(AF18))</f>
        <v>0.9286125798284421</v>
      </c>
      <c r="AH18" s="202">
        <f t="shared" si="23"/>
        <v>1.6154626374566246</v>
      </c>
      <c r="AI18" s="202">
        <f t="shared" si="24"/>
        <v>0.9343716704129883</v>
      </c>
    </row>
    <row r="19" spans="1:35" s="26" customFormat="1" ht="15" customHeight="1">
      <c r="A19" s="127">
        <f t="shared" si="30"/>
        <v>8.5</v>
      </c>
      <c r="B19" s="49">
        <f t="shared" si="0"/>
        <v>-5.35147669302665</v>
      </c>
      <c r="C19" s="135">
        <f t="shared" si="1"/>
        <v>0.040361999999999995</v>
      </c>
      <c r="D19" s="150">
        <f t="shared" si="2"/>
        <v>6630.480481452553</v>
      </c>
      <c r="E19" s="150">
        <f t="shared" si="3"/>
        <v>117647.05882352941</v>
      </c>
      <c r="F19" s="108">
        <f t="shared" si="25"/>
        <v>168.22789511027403</v>
      </c>
      <c r="G19" s="108">
        <f t="shared" si="4"/>
        <v>213.58648059564388</v>
      </c>
      <c r="H19" s="50">
        <f t="shared" si="5"/>
        <v>0.6787120563493305</v>
      </c>
      <c r="I19" s="49">
        <f t="shared" si="6"/>
        <v>4.369990894230249</v>
      </c>
      <c r="J19" s="49">
        <f t="shared" si="7"/>
        <v>-0.27673489381520755</v>
      </c>
      <c r="K19" s="49">
        <f t="shared" si="8"/>
        <v>0.04170415676973272</v>
      </c>
      <c r="L19" s="49">
        <f t="shared" si="9"/>
        <v>0.1955681623143506</v>
      </c>
      <c r="M19" s="49">
        <f t="shared" si="26"/>
        <v>0.0015731332763336556</v>
      </c>
      <c r="N19" s="49">
        <f t="shared" si="27"/>
        <v>0.17611122559237802</v>
      </c>
      <c r="O19" s="49">
        <f t="shared" si="10"/>
        <v>0.017357982492261115</v>
      </c>
      <c r="P19" s="49">
        <f t="shared" si="11"/>
        <v>0</v>
      </c>
      <c r="Q19" s="49">
        <f t="shared" si="12"/>
        <v>0</v>
      </c>
      <c r="R19" s="206">
        <f t="shared" si="13"/>
        <v>0.34850072614915195</v>
      </c>
      <c r="S19" s="53">
        <f t="shared" si="14"/>
        <v>5.786241047127722</v>
      </c>
      <c r="T19" s="49">
        <f t="shared" si="15"/>
        <v>6.369990894230249</v>
      </c>
      <c r="U19" s="49">
        <f t="shared" si="16"/>
        <v>1.4162501528974731</v>
      </c>
      <c r="V19" s="54">
        <f t="shared" si="17"/>
        <v>1.2137589528722783</v>
      </c>
      <c r="W19" s="99">
        <f t="shared" si="18"/>
        <v>-14.2184916203794</v>
      </c>
      <c r="X19" s="25">
        <f t="shared" si="31"/>
        <v>-0.1639654984661445</v>
      </c>
      <c r="Y19" s="23">
        <f t="shared" si="19"/>
        <v>1.7566264497877127</v>
      </c>
      <c r="Z19" s="23">
        <f t="shared" si="20"/>
        <v>1.7566264497877127</v>
      </c>
      <c r="AA19" s="214">
        <f>ERF(AH19)+ERF(AI19)-1</f>
        <v>0.7893665551898483</v>
      </c>
      <c r="AB19" s="52">
        <f t="shared" si="21"/>
        <v>7</v>
      </c>
      <c r="AC19" s="143">
        <f t="shared" si="28"/>
        <v>10</v>
      </c>
      <c r="AD19" s="144">
        <f t="shared" si="32"/>
        <v>8.9</v>
      </c>
      <c r="AE19" s="208">
        <f t="shared" si="29"/>
        <v>0</v>
      </c>
      <c r="AF19" s="162">
        <f t="shared" si="22"/>
        <v>1.2706521620669375</v>
      </c>
      <c r="AG19" s="186">
        <f>IF(ABS(AF19)&lt;10,SIGN(AF19)*ERF(ABS(AF19)),SIGN(AF19))</f>
        <v>0.9276601645303159</v>
      </c>
      <c r="AH19" s="202">
        <f t="shared" si="23"/>
        <v>1.6100584157075222</v>
      </c>
      <c r="AI19" s="202">
        <f t="shared" si="24"/>
        <v>0.9312459084263531</v>
      </c>
    </row>
    <row r="20" spans="1:35" s="20" customFormat="1" ht="15" customHeight="1">
      <c r="A20" s="126">
        <f t="shared" si="30"/>
        <v>8.75</v>
      </c>
      <c r="B20" s="97">
        <f t="shared" si="0"/>
        <v>-5.35147669302665</v>
      </c>
      <c r="C20" s="134">
        <f t="shared" si="1"/>
        <v>0.040361999999999995</v>
      </c>
      <c r="D20" s="149">
        <f t="shared" si="2"/>
        <v>6441.038181982481</v>
      </c>
      <c r="E20" s="149">
        <f t="shared" si="3"/>
        <v>114285.71428571429</v>
      </c>
      <c r="F20" s="107">
        <f t="shared" si="25"/>
        <v>169.15800461993817</v>
      </c>
      <c r="G20" s="107">
        <f t="shared" si="4"/>
        <v>214.31983232309375</v>
      </c>
      <c r="H20" s="100">
        <f t="shared" si="5"/>
        <v>0.6886918619831741</v>
      </c>
      <c r="I20" s="97">
        <f t="shared" si="6"/>
        <v>4.498520038178197</v>
      </c>
      <c r="J20" s="97">
        <f t="shared" si="7"/>
        <v>-0.28487415539800776</v>
      </c>
      <c r="K20" s="97">
        <f t="shared" si="8"/>
        <v>0.04409385270524542</v>
      </c>
      <c r="L20" s="97">
        <f t="shared" si="9"/>
        <v>0.2198279293160796</v>
      </c>
      <c r="M20" s="97">
        <f t="shared" si="26"/>
        <v>0.001567750386690624</v>
      </c>
      <c r="N20" s="97">
        <f t="shared" si="27"/>
        <v>0.1754835946092946</v>
      </c>
      <c r="O20" s="97">
        <f t="shared" si="10"/>
        <v>0.01955934474439397</v>
      </c>
      <c r="P20" s="97">
        <f t="shared" si="11"/>
        <v>0</v>
      </c>
      <c r="Q20" s="97">
        <f t="shared" si="12"/>
        <v>0</v>
      </c>
      <c r="R20" s="205">
        <f t="shared" si="13"/>
        <v>0.3494530427946878</v>
      </c>
      <c r="S20" s="98">
        <f t="shared" si="14"/>
        <v>5.951535811625828</v>
      </c>
      <c r="T20" s="97">
        <f t="shared" si="15"/>
        <v>6.498520038178197</v>
      </c>
      <c r="U20" s="97">
        <f t="shared" si="16"/>
        <v>1.453015773447631</v>
      </c>
      <c r="V20" s="102">
        <f t="shared" si="17"/>
        <v>1.0484641883741723</v>
      </c>
      <c r="W20" s="103">
        <f t="shared" si="18"/>
        <v>-14.347973080972883</v>
      </c>
      <c r="X20" s="27">
        <f t="shared" si="31"/>
        <v>-0.16671520141764296</v>
      </c>
      <c r="Y20" s="18">
        <f t="shared" si="19"/>
        <v>1.7566264497877127</v>
      </c>
      <c r="Z20" s="18">
        <f t="shared" si="20"/>
        <v>1.7566264497877127</v>
      </c>
      <c r="AA20" s="216">
        <f>ERF(AH20)+ERF(AI20)-1</f>
        <v>0.7873820492653847</v>
      </c>
      <c r="AB20" s="101">
        <f t="shared" si="21"/>
        <v>7</v>
      </c>
      <c r="AC20" s="192">
        <f t="shared" si="28"/>
        <v>10</v>
      </c>
      <c r="AD20" s="193">
        <f t="shared" si="32"/>
        <v>8.9</v>
      </c>
      <c r="AE20" s="207">
        <f t="shared" si="29"/>
        <v>0</v>
      </c>
      <c r="AF20" s="161">
        <f t="shared" si="22"/>
        <v>1.2663042911865847</v>
      </c>
      <c r="AG20" s="185">
        <f>IF(ABS(AF20)&lt;10,SIGN(AF20)*ERF(ABS(AF20)),SIGN(AF20))</f>
        <v>0.9266785574647879</v>
      </c>
      <c r="AH20" s="200">
        <f t="shared" si="23"/>
        <v>1.6045491769793285</v>
      </c>
      <c r="AI20" s="200">
        <f t="shared" si="24"/>
        <v>0.9280594053938407</v>
      </c>
    </row>
    <row r="21" spans="1:35" s="26" customFormat="1" ht="15" customHeight="1">
      <c r="A21" s="127">
        <f t="shared" si="30"/>
        <v>9</v>
      </c>
      <c r="B21" s="49">
        <f t="shared" si="0"/>
        <v>-5.35147669302665</v>
      </c>
      <c r="C21" s="135">
        <f t="shared" si="1"/>
        <v>0.040361999999999995</v>
      </c>
      <c r="D21" s="150">
        <f t="shared" si="2"/>
        <v>6262.120454705188</v>
      </c>
      <c r="E21" s="150">
        <f t="shared" si="3"/>
        <v>111111.11111111111</v>
      </c>
      <c r="F21" s="108">
        <f t="shared" si="25"/>
        <v>170.1097650989891</v>
      </c>
      <c r="G21" s="108">
        <f t="shared" si="4"/>
        <v>215.0718302847522</v>
      </c>
      <c r="H21" s="50">
        <f t="shared" si="5"/>
        <v>0.6989923244618274</v>
      </c>
      <c r="I21" s="49">
        <f t="shared" si="6"/>
        <v>4.627049182126146</v>
      </c>
      <c r="J21" s="49">
        <f t="shared" si="7"/>
        <v>-0.29301341698080796</v>
      </c>
      <c r="K21" s="49">
        <f t="shared" si="8"/>
        <v>0.04654143869208235</v>
      </c>
      <c r="L21" s="49">
        <f t="shared" si="9"/>
        <v>0.24638519244977883</v>
      </c>
      <c r="M21" s="49">
        <f t="shared" si="26"/>
        <v>0.001562268752514639</v>
      </c>
      <c r="N21" s="49">
        <f t="shared" si="27"/>
        <v>0.1748446366443576</v>
      </c>
      <c r="O21" s="49">
        <f t="shared" si="10"/>
        <v>0.02198785021382188</v>
      </c>
      <c r="P21" s="49">
        <f t="shared" si="11"/>
        <v>0</v>
      </c>
      <c r="Q21" s="49">
        <f t="shared" si="12"/>
        <v>0</v>
      </c>
      <c r="R21" s="206">
        <f t="shared" si="13"/>
        <v>0.3504122640670756</v>
      </c>
      <c r="S21" s="53">
        <f t="shared" si="14"/>
        <v>6.119671449963008</v>
      </c>
      <c r="T21" s="49">
        <f t="shared" si="15"/>
        <v>6.627049182126146</v>
      </c>
      <c r="U21" s="49">
        <f t="shared" si="16"/>
        <v>1.492622267836862</v>
      </c>
      <c r="V21" s="54">
        <f t="shared" si="17"/>
        <v>0.8803285500369924</v>
      </c>
      <c r="W21" s="99">
        <f t="shared" si="18"/>
        <v>-14.477461446193223</v>
      </c>
      <c r="X21" s="25">
        <f t="shared" si="31"/>
        <v>-0.1696552575054544</v>
      </c>
      <c r="Y21" s="23">
        <f t="shared" si="19"/>
        <v>1.7566264497877127</v>
      </c>
      <c r="Z21" s="23">
        <f t="shared" si="20"/>
        <v>1.7566264497877127</v>
      </c>
      <c r="AA21" s="214">
        <f>ERF(AH21)+ERF(AI21)-1</f>
        <v>0.7853432966630618</v>
      </c>
      <c r="AB21" s="52">
        <f t="shared" si="21"/>
        <v>7</v>
      </c>
      <c r="AC21" s="143">
        <f t="shared" si="28"/>
        <v>10</v>
      </c>
      <c r="AD21" s="144">
        <f t="shared" si="32"/>
        <v>8.9</v>
      </c>
      <c r="AE21" s="208">
        <f t="shared" si="29"/>
        <v>0</v>
      </c>
      <c r="AF21" s="162">
        <f t="shared" si="22"/>
        <v>1.2618766623123112</v>
      </c>
      <c r="AG21" s="186">
        <f>IF(ABS(AF21)&lt;10,SIGN(AF21)*ERF(ABS(AF21)),SIGN(AF21))</f>
        <v>0.925667773578285</v>
      </c>
      <c r="AH21" s="202">
        <f t="shared" si="23"/>
        <v>1.5989388759516598</v>
      </c>
      <c r="AI21" s="202">
        <f t="shared" si="24"/>
        <v>0.9248144486729625</v>
      </c>
    </row>
    <row r="22" spans="1:35" s="26" customFormat="1" ht="15" customHeight="1">
      <c r="A22" s="127">
        <f t="shared" si="30"/>
        <v>9.25</v>
      </c>
      <c r="B22" s="49">
        <f t="shared" si="0"/>
        <v>-5.35147669302665</v>
      </c>
      <c r="C22" s="135">
        <f t="shared" si="1"/>
        <v>0.040361999999999995</v>
      </c>
      <c r="D22" s="150">
        <f t="shared" si="2"/>
        <v>6092.873955929373</v>
      </c>
      <c r="E22" s="150">
        <f t="shared" si="3"/>
        <v>108108.1081081081</v>
      </c>
      <c r="F22" s="108">
        <f t="shared" si="25"/>
        <v>171.08281520461384</v>
      </c>
      <c r="G22" s="108">
        <f t="shared" si="4"/>
        <v>215.84227958937063</v>
      </c>
      <c r="H22" s="50">
        <f t="shared" si="5"/>
        <v>0.7096154188543258</v>
      </c>
      <c r="I22" s="49">
        <f t="shared" si="6"/>
        <v>4.755578326074094</v>
      </c>
      <c r="J22" s="49">
        <f t="shared" si="7"/>
        <v>-0.30115267856360817</v>
      </c>
      <c r="K22" s="49">
        <f t="shared" si="8"/>
        <v>0.04904599605726825</v>
      </c>
      <c r="L22" s="49">
        <f t="shared" si="9"/>
        <v>0.27541458522643547</v>
      </c>
      <c r="M22" s="49">
        <f t="shared" si="26"/>
        <v>0.0015566922321207113</v>
      </c>
      <c r="N22" s="49">
        <f t="shared" si="27"/>
        <v>0.17419481128494965</v>
      </c>
      <c r="O22" s="49">
        <f t="shared" si="10"/>
        <v>0.024666103562879654</v>
      </c>
      <c r="P22" s="49">
        <f t="shared" si="11"/>
        <v>0</v>
      </c>
      <c r="Q22" s="49">
        <f t="shared" si="12"/>
        <v>0</v>
      </c>
      <c r="R22" s="206">
        <f t="shared" si="13"/>
        <v>0.35137708163405157</v>
      </c>
      <c r="S22" s="53">
        <f t="shared" si="14"/>
        <v>6.2908463266367365</v>
      </c>
      <c r="T22" s="49">
        <f t="shared" si="15"/>
        <v>6.755578326074094</v>
      </c>
      <c r="U22" s="49">
        <f t="shared" si="16"/>
        <v>1.5352680005626427</v>
      </c>
      <c r="V22" s="54">
        <f t="shared" si="17"/>
        <v>0.7091536733632635</v>
      </c>
      <c r="W22" s="99">
        <f t="shared" si="18"/>
        <v>-14.606955407708146</v>
      </c>
      <c r="X22" s="25">
        <f t="shared" si="31"/>
        <v>-0.17280289985470043</v>
      </c>
      <c r="Y22" s="23">
        <f t="shared" si="19"/>
        <v>1.7566264497877127</v>
      </c>
      <c r="Z22" s="23">
        <f t="shared" si="20"/>
        <v>1.7566264497877127</v>
      </c>
      <c r="AA22" s="214">
        <f>ERF(AH22)+ERF(AI22)-1</f>
        <v>0.783250624727917</v>
      </c>
      <c r="AB22" s="52">
        <f t="shared" si="21"/>
        <v>7</v>
      </c>
      <c r="AC22" s="143">
        <f t="shared" si="28"/>
        <v>10</v>
      </c>
      <c r="AD22" s="144">
        <f t="shared" si="32"/>
        <v>8.9</v>
      </c>
      <c r="AE22" s="208">
        <f t="shared" si="29"/>
        <v>0</v>
      </c>
      <c r="AF22" s="162">
        <f t="shared" si="22"/>
        <v>1.2573723918846529</v>
      </c>
      <c r="AG22" s="186">
        <f>IF(ABS(AF22)&lt;10,SIGN(AF22)*ERF(ABS(AF22)),SIGN(AF22))</f>
        <v>0.9246278379567751</v>
      </c>
      <c r="AH22" s="202">
        <f t="shared" si="23"/>
        <v>1.5932314615032581</v>
      </c>
      <c r="AI22" s="202">
        <f t="shared" si="24"/>
        <v>0.9215133222660477</v>
      </c>
    </row>
    <row r="23" spans="1:35" s="26" customFormat="1" ht="15" customHeight="1">
      <c r="A23" s="127">
        <f t="shared" si="30"/>
        <v>9.5</v>
      </c>
      <c r="B23" s="49">
        <f t="shared" si="0"/>
        <v>-5.35147669302665</v>
      </c>
      <c r="C23" s="135">
        <f t="shared" si="1"/>
        <v>0.040361999999999995</v>
      </c>
      <c r="D23" s="150">
        <f t="shared" si="2"/>
        <v>5932.535167615443</v>
      </c>
      <c r="E23" s="150">
        <f t="shared" si="3"/>
        <v>105263.15789473684</v>
      </c>
      <c r="F23" s="108">
        <f t="shared" si="25"/>
        <v>172.07679377506838</v>
      </c>
      <c r="G23" s="108">
        <f t="shared" si="4"/>
        <v>216.63098337012508</v>
      </c>
      <c r="H23" s="50">
        <f t="shared" si="5"/>
        <v>0.7205630919573937</v>
      </c>
      <c r="I23" s="49">
        <f t="shared" si="6"/>
        <v>4.884107470022043</v>
      </c>
      <c r="J23" s="49">
        <f t="shared" si="7"/>
        <v>-0.30929194014640843</v>
      </c>
      <c r="K23" s="49">
        <f t="shared" si="8"/>
        <v>0.05160658790952944</v>
      </c>
      <c r="L23" s="49">
        <f t="shared" si="9"/>
        <v>0.30710609425904856</v>
      </c>
      <c r="M23" s="49">
        <f t="shared" si="26"/>
        <v>0.0015510246723384295</v>
      </c>
      <c r="N23" s="49">
        <f t="shared" si="27"/>
        <v>0.1735345764043812</v>
      </c>
      <c r="O23" s="49">
        <f t="shared" si="10"/>
        <v>0.027619811159841245</v>
      </c>
      <c r="P23" s="49">
        <f t="shared" si="11"/>
        <v>0</v>
      </c>
      <c r="Q23" s="49">
        <f t="shared" si="12"/>
        <v>0</v>
      </c>
      <c r="R23" s="206">
        <f t="shared" si="13"/>
        <v>0.352346205869701</v>
      </c>
      <c r="S23" s="53">
        <f t="shared" si="14"/>
        <v>6.4652772496724085</v>
      </c>
      <c r="T23" s="49">
        <f t="shared" si="15"/>
        <v>6.884107470022043</v>
      </c>
      <c r="U23" s="49">
        <f t="shared" si="16"/>
        <v>1.5811697796503656</v>
      </c>
      <c r="V23" s="54">
        <f t="shared" si="17"/>
        <v>0.5347227503275915</v>
      </c>
      <c r="W23" s="99">
        <f t="shared" si="18"/>
        <v>-14.736453675891743</v>
      </c>
      <c r="X23" s="25">
        <f t="shared" si="31"/>
        <v>-0.1761780117449243</v>
      </c>
      <c r="Y23" s="23">
        <f t="shared" si="19"/>
        <v>1.7566264497877127</v>
      </c>
      <c r="Z23" s="23">
        <f t="shared" si="20"/>
        <v>1.7566264497877127</v>
      </c>
      <c r="AA23" s="214">
        <f>ERF(AH23)+ERF(AI23)-1</f>
        <v>0.7811043748242728</v>
      </c>
      <c r="AB23" s="52">
        <f t="shared" si="21"/>
        <v>7</v>
      </c>
      <c r="AC23" s="143">
        <f t="shared" si="28"/>
        <v>10</v>
      </c>
      <c r="AD23" s="144">
        <f t="shared" si="32"/>
        <v>8.9</v>
      </c>
      <c r="AE23" s="208">
        <f t="shared" si="29"/>
        <v>0</v>
      </c>
      <c r="AF23" s="162">
        <f t="shared" si="22"/>
        <v>1.2527945870671335</v>
      </c>
      <c r="AG23" s="186">
        <f>IF(ABS(AF23)&lt;10,SIGN(AF23)*ERF(ABS(AF23)),SIGN(AF23))</f>
        <v>0.9235587862692365</v>
      </c>
      <c r="AH23" s="202">
        <f t="shared" si="23"/>
        <v>1.587430870757854</v>
      </c>
      <c r="AI23" s="202">
        <f t="shared" si="24"/>
        <v>0.9181583033764134</v>
      </c>
    </row>
    <row r="24" spans="1:35" s="26" customFormat="1" ht="15" customHeight="1">
      <c r="A24" s="127">
        <f t="shared" si="30"/>
        <v>9.75</v>
      </c>
      <c r="B24" s="49">
        <f t="shared" si="0"/>
        <v>-5.35147669302665</v>
      </c>
      <c r="C24" s="135">
        <f t="shared" si="1"/>
        <v>0.040361999999999995</v>
      </c>
      <c r="D24" s="150">
        <f t="shared" si="2"/>
        <v>5780.418881266328</v>
      </c>
      <c r="E24" s="150">
        <f t="shared" si="3"/>
        <v>102564.10256410256</v>
      </c>
      <c r="F24" s="108">
        <f t="shared" si="25"/>
        <v>173.09134026503855</v>
      </c>
      <c r="G24" s="108">
        <f t="shared" si="4"/>
        <v>217.43774298577364</v>
      </c>
      <c r="H24" s="50">
        <f t="shared" si="5"/>
        <v>0.7318372581975239</v>
      </c>
      <c r="I24" s="49">
        <f t="shared" si="6"/>
        <v>5.012636613969991</v>
      </c>
      <c r="J24" s="49">
        <f t="shared" si="7"/>
        <v>-0.31743120172920863</v>
      </c>
      <c r="K24" s="49">
        <f t="shared" si="8"/>
        <v>0.05422225972246887</v>
      </c>
      <c r="L24" s="49">
        <f t="shared" si="9"/>
        <v>0.34166734871416315</v>
      </c>
      <c r="M24" s="49">
        <f t="shared" si="26"/>
        <v>0.0015452699029440513</v>
      </c>
      <c r="N24" s="49">
        <f t="shared" si="27"/>
        <v>0.17286438749353794</v>
      </c>
      <c r="O24" s="49">
        <f t="shared" si="10"/>
        <v>0.030878387894009762</v>
      </c>
      <c r="P24" s="49">
        <f t="shared" si="11"/>
        <v>0</v>
      </c>
      <c r="Q24" s="49">
        <f t="shared" si="12"/>
        <v>0</v>
      </c>
      <c r="R24" s="206">
        <f t="shared" si="13"/>
        <v>0.3533183538573592</v>
      </c>
      <c r="S24" s="53">
        <f t="shared" si="14"/>
        <v>6.643202350126585</v>
      </c>
      <c r="T24" s="49">
        <f t="shared" si="15"/>
        <v>7.012636613969991</v>
      </c>
      <c r="U24" s="49">
        <f t="shared" si="16"/>
        <v>1.6305657361565942</v>
      </c>
      <c r="V24" s="54">
        <f t="shared" si="17"/>
        <v>0.3567976498734149</v>
      </c>
      <c r="W24" s="99">
        <f t="shared" si="18"/>
        <v>-14.865954967827351</v>
      </c>
      <c r="X24" s="25">
        <f t="shared" si="31"/>
        <v>-0.1798035756837537</v>
      </c>
      <c r="Y24" s="23">
        <f t="shared" si="19"/>
        <v>1.7566264497877127</v>
      </c>
      <c r="Z24" s="23">
        <f t="shared" si="20"/>
        <v>1.7566264497877127</v>
      </c>
      <c r="AA24" s="214">
        <f>ERF(AH24)+ERF(AI24)-1</f>
        <v>0.7789049051121748</v>
      </c>
      <c r="AB24" s="52">
        <f t="shared" si="21"/>
        <v>7</v>
      </c>
      <c r="AC24" s="143">
        <f t="shared" si="28"/>
        <v>10</v>
      </c>
      <c r="AD24" s="144">
        <f t="shared" si="32"/>
        <v>8.9</v>
      </c>
      <c r="AE24" s="208">
        <f t="shared" si="29"/>
        <v>0</v>
      </c>
      <c r="AF24" s="162">
        <f t="shared" si="22"/>
        <v>1.24814634124895</v>
      </c>
      <c r="AG24" s="186">
        <f>IF(ABS(AF24)&lt;10,SIGN(AF24)*ERF(ABS(AF24)),SIGN(AF24))</f>
        <v>0.9224606651810172</v>
      </c>
      <c r="AH24" s="202">
        <f t="shared" si="23"/>
        <v>1.5815410233855645</v>
      </c>
      <c r="AI24" s="202">
        <f t="shared" si="24"/>
        <v>0.9147516591123356</v>
      </c>
    </row>
    <row r="25" spans="1:35" s="20" customFormat="1" ht="15" customHeight="1">
      <c r="A25" s="126">
        <f t="shared" si="30"/>
        <v>10</v>
      </c>
      <c r="B25" s="97">
        <f t="shared" si="0"/>
        <v>-5.35147669302665</v>
      </c>
      <c r="C25" s="134">
        <f t="shared" si="1"/>
        <v>0.040361999999999995</v>
      </c>
      <c r="D25" s="149">
        <f t="shared" si="2"/>
        <v>5635.908409234669</v>
      </c>
      <c r="E25" s="149">
        <f t="shared" si="3"/>
        <v>100000</v>
      </c>
      <c r="F25" s="107">
        <f t="shared" si="25"/>
        <v>174.12609515766403</v>
      </c>
      <c r="G25" s="107">
        <f t="shared" si="4"/>
        <v>218.26235821793887</v>
      </c>
      <c r="H25" s="100">
        <f t="shared" si="5"/>
        <v>0.7434397957301991</v>
      </c>
      <c r="I25" s="97">
        <f t="shared" si="6"/>
        <v>5.141165757917939</v>
      </c>
      <c r="J25" s="97">
        <f t="shared" si="7"/>
        <v>-0.32557046331200884</v>
      </c>
      <c r="K25" s="97">
        <f t="shared" si="8"/>
        <v>0.056892039926542036</v>
      </c>
      <c r="L25" s="97">
        <f t="shared" si="9"/>
        <v>0.379326350738473</v>
      </c>
      <c r="M25" s="97">
        <f t="shared" si="26"/>
        <v>0.0015394317313501122</v>
      </c>
      <c r="N25" s="97">
        <f t="shared" si="27"/>
        <v>0.17218469702480518</v>
      </c>
      <c r="O25" s="97">
        <f t="shared" si="10"/>
        <v>0.034475707323922605</v>
      </c>
      <c r="P25" s="97">
        <f t="shared" si="11"/>
        <v>0</v>
      </c>
      <c r="Q25" s="97">
        <f t="shared" si="12"/>
        <v>0</v>
      </c>
      <c r="R25" s="205">
        <f t="shared" si="13"/>
        <v>0.35429209230457637</v>
      </c>
      <c r="S25" s="98">
        <f t="shared" si="14"/>
        <v>6.824884401039916</v>
      </c>
      <c r="T25" s="97">
        <f t="shared" si="15"/>
        <v>7.141165757917939</v>
      </c>
      <c r="U25" s="97">
        <f t="shared" si="16"/>
        <v>1.6837186431219768</v>
      </c>
      <c r="V25" s="102">
        <f t="shared" si="17"/>
        <v>0.1751155989600841</v>
      </c>
      <c r="W25" s="103">
        <f t="shared" si="18"/>
        <v>-14.995457850222515</v>
      </c>
      <c r="X25" s="27">
        <f t="shared" si="31"/>
        <v>-0.18370672273770516</v>
      </c>
      <c r="Y25" s="18">
        <f t="shared" si="19"/>
        <v>1.7566264497877127</v>
      </c>
      <c r="Z25" s="18">
        <f t="shared" si="20"/>
        <v>1.7566264497877127</v>
      </c>
      <c r="AA25" s="216">
        <f>ERF(AH25)+ERF(AI25)-1</f>
        <v>0.7766526191780319</v>
      </c>
      <c r="AB25" s="101">
        <f t="shared" si="21"/>
        <v>7</v>
      </c>
      <c r="AC25" s="192">
        <f t="shared" si="28"/>
        <v>10</v>
      </c>
      <c r="AD25" s="193">
        <f t="shared" si="32"/>
        <v>8.9</v>
      </c>
      <c r="AE25" s="207">
        <f t="shared" si="29"/>
        <v>0.1751155989600841</v>
      </c>
      <c r="AF25" s="161">
        <f t="shared" si="22"/>
        <v>1.2434307297556597</v>
      </c>
      <c r="AG25" s="185">
        <f>IF(ABS(AF25)&lt;10,SIGN(AF25)*ERF(ABS(AF25)),SIGN(AF25))</f>
        <v>0.9213335327356201</v>
      </c>
      <c r="AH25" s="200">
        <f t="shared" si="23"/>
        <v>1.5755658161678558</v>
      </c>
      <c r="AI25" s="200">
        <f t="shared" si="24"/>
        <v>0.9112956433434632</v>
      </c>
    </row>
    <row r="26" spans="1:35" s="26" customFormat="1" ht="15" customHeight="1">
      <c r="A26" s="127">
        <f t="shared" si="30"/>
        <v>10.25</v>
      </c>
      <c r="B26" s="49">
        <f t="shared" si="0"/>
        <v>-5.35147669302665</v>
      </c>
      <c r="C26" s="135">
        <f t="shared" si="1"/>
        <v>0.040361999999999995</v>
      </c>
      <c r="D26" s="150">
        <f t="shared" si="2"/>
        <v>5498.44722852163</v>
      </c>
      <c r="E26" s="150">
        <f t="shared" si="3"/>
        <v>97560.9756097561</v>
      </c>
      <c r="F26" s="108">
        <f t="shared" si="25"/>
        <v>175.18070035318658</v>
      </c>
      <c r="G26" s="108">
        <f t="shared" si="4"/>
        <v>219.10462746421615</v>
      </c>
      <c r="H26" s="50">
        <f t="shared" si="5"/>
        <v>0.7553725427469192</v>
      </c>
      <c r="I26" s="49">
        <f t="shared" si="6"/>
        <v>5.269694901865888</v>
      </c>
      <c r="J26" s="49">
        <f t="shared" si="7"/>
        <v>-0.33370972489480905</v>
      </c>
      <c r="K26" s="49">
        <f t="shared" si="8"/>
        <v>0.05961494050932066</v>
      </c>
      <c r="L26" s="49">
        <f t="shared" si="9"/>
        <v>0.42033474888966604</v>
      </c>
      <c r="M26" s="49">
        <f t="shared" si="26"/>
        <v>0.0015335139375587813</v>
      </c>
      <c r="N26" s="49">
        <f t="shared" si="27"/>
        <v>0.17149595384897773</v>
      </c>
      <c r="O26" s="49">
        <f t="shared" si="10"/>
        <v>0.03845103614860848</v>
      </c>
      <c r="P26" s="49">
        <f t="shared" si="11"/>
        <v>0</v>
      </c>
      <c r="Q26" s="49">
        <f t="shared" si="12"/>
        <v>0</v>
      </c>
      <c r="R26" s="206">
        <f t="shared" si="13"/>
        <v>0.35526661210193533</v>
      </c>
      <c r="S26" s="53">
        <f t="shared" si="14"/>
        <v>7.010615795601995</v>
      </c>
      <c r="T26" s="49">
        <f t="shared" si="15"/>
        <v>7.269694901865888</v>
      </c>
      <c r="U26" s="49">
        <f t="shared" si="16"/>
        <v>1.7409208937361074</v>
      </c>
      <c r="V26" s="54">
        <f t="shared" si="17"/>
        <v>-0.010615795601995437</v>
      </c>
      <c r="W26" s="99">
        <f t="shared" si="18"/>
        <v>-15.124961513967824</v>
      </c>
      <c r="X26" s="25">
        <f t="shared" si="31"/>
        <v>-0.18791902806791994</v>
      </c>
      <c r="Y26" s="23">
        <f t="shared" si="19"/>
        <v>1.7566264497877127</v>
      </c>
      <c r="Z26" s="23">
        <f t="shared" si="20"/>
        <v>1.7566264497877127</v>
      </c>
      <c r="AA26" s="214">
        <f>ERF(AH26)+ERF(AI26)-1</f>
        <v>0.7743478279938125</v>
      </c>
      <c r="AB26" s="52">
        <f t="shared" si="21"/>
        <v>7</v>
      </c>
      <c r="AC26" s="143">
        <f t="shared" si="28"/>
        <v>10</v>
      </c>
      <c r="AD26" s="144">
        <f t="shared" si="32"/>
        <v>8.9</v>
      </c>
      <c r="AE26" s="208">
        <f t="shared" si="29"/>
        <v>0</v>
      </c>
      <c r="AF26" s="162">
        <f t="shared" si="22"/>
        <v>1.2386508057729022</v>
      </c>
      <c r="AG26" s="186">
        <f>IF(ABS(AF26)&lt;10,SIGN(AF26)*ERF(ABS(AF26)),SIGN(AF26))</f>
        <v>0.920177458703625</v>
      </c>
      <c r="AH26" s="202">
        <f t="shared" si="23"/>
        <v>1.5695091178324423</v>
      </c>
      <c r="AI26" s="202">
        <f t="shared" si="24"/>
        <v>0.9077924937133623</v>
      </c>
    </row>
    <row r="27" spans="1:35" s="26" customFormat="1" ht="15" customHeight="1">
      <c r="A27" s="127">
        <f t="shared" si="30"/>
        <v>10.5</v>
      </c>
      <c r="B27" s="49">
        <f t="shared" si="0"/>
        <v>-5.35147669302665</v>
      </c>
      <c r="C27" s="135">
        <f t="shared" si="1"/>
        <v>0.040361999999999995</v>
      </c>
      <c r="D27" s="150">
        <f t="shared" si="2"/>
        <v>5367.531818318734</v>
      </c>
      <c r="E27" s="150">
        <f t="shared" si="3"/>
        <v>95238.09523809524</v>
      </c>
      <c r="F27" s="108">
        <f t="shared" si="25"/>
        <v>176.25479953430656</v>
      </c>
      <c r="G27" s="108">
        <f t="shared" si="4"/>
        <v>219.96434792683698</v>
      </c>
      <c r="H27" s="50">
        <f t="shared" si="5"/>
        <v>0.7676372939995402</v>
      </c>
      <c r="I27" s="49">
        <f t="shared" si="6"/>
        <v>5.398224045813837</v>
      </c>
      <c r="J27" s="49">
        <f t="shared" si="7"/>
        <v>-0.3418489864776093</v>
      </c>
      <c r="K27" s="49">
        <f t="shared" si="8"/>
        <v>0.06238995762352707</v>
      </c>
      <c r="L27" s="49">
        <f t="shared" si="9"/>
        <v>0.4649717857719996</v>
      </c>
      <c r="M27" s="49">
        <f t="shared" si="26"/>
        <v>0.0015275202693836457</v>
      </c>
      <c r="N27" s="49">
        <f t="shared" si="27"/>
        <v>0.1707986026256672</v>
      </c>
      <c r="O27" s="49">
        <f t="shared" si="10"/>
        <v>0.04285020805250389</v>
      </c>
      <c r="P27" s="49">
        <f t="shared" si="11"/>
        <v>0</v>
      </c>
      <c r="Q27" s="49">
        <f t="shared" si="12"/>
        <v>0</v>
      </c>
      <c r="R27" s="206">
        <f t="shared" si="13"/>
        <v>0.3562405209122086</v>
      </c>
      <c r="S27" s="53">
        <f t="shared" si="14"/>
        <v>7.200722457175756</v>
      </c>
      <c r="T27" s="49">
        <f t="shared" si="15"/>
        <v>7.398224045813837</v>
      </c>
      <c r="U27" s="49">
        <f t="shared" si="16"/>
        <v>1.8024984113619187</v>
      </c>
      <c r="V27" s="54">
        <f t="shared" si="17"/>
        <v>-0.20072245717575576</v>
      </c>
      <c r="W27" s="99">
        <f t="shared" si="18"/>
        <v>-15.254464566726046</v>
      </c>
      <c r="X27" s="25">
        <f t="shared" si="31"/>
        <v>-0.19247756977586672</v>
      </c>
      <c r="Y27" s="23">
        <f t="shared" si="19"/>
        <v>1.7566264497877127</v>
      </c>
      <c r="Z27" s="23">
        <f t="shared" si="20"/>
        <v>1.7566264497877127</v>
      </c>
      <c r="AA27" s="214">
        <f>ERF(AH27)+ERF(AI27)-1</f>
        <v>0.771990966619228</v>
      </c>
      <c r="AB27" s="52">
        <f t="shared" si="21"/>
        <v>7</v>
      </c>
      <c r="AC27" s="143">
        <f t="shared" si="28"/>
        <v>10</v>
      </c>
      <c r="AD27" s="144">
        <f t="shared" si="32"/>
        <v>8.9</v>
      </c>
      <c r="AE27" s="208">
        <f t="shared" si="29"/>
        <v>0</v>
      </c>
      <c r="AF27" s="162">
        <f t="shared" si="22"/>
        <v>1.2338095964869369</v>
      </c>
      <c r="AG27" s="186">
        <f>IF(ABS(AF27)&lt;10,SIGN(AF27)*ERF(ABS(AF27)),SIGN(AF27))</f>
        <v>0.9189925248976372</v>
      </c>
      <c r="AH27" s="202">
        <f t="shared" si="23"/>
        <v>1.5633747641629134</v>
      </c>
      <c r="AI27" s="202">
        <f t="shared" si="24"/>
        <v>0.9042444288109602</v>
      </c>
    </row>
    <row r="28" spans="1:35" s="26" customFormat="1" ht="15" customHeight="1">
      <c r="A28" s="127">
        <f t="shared" si="30"/>
        <v>10.75</v>
      </c>
      <c r="B28" s="49">
        <f t="shared" si="0"/>
        <v>-5.35147669302665</v>
      </c>
      <c r="C28" s="135">
        <f t="shared" si="1"/>
        <v>0.040361999999999995</v>
      </c>
      <c r="D28" s="150">
        <f t="shared" si="2"/>
        <v>5242.705496962484</v>
      </c>
      <c r="E28" s="150">
        <f t="shared" si="3"/>
        <v>93023.25581395348</v>
      </c>
      <c r="F28" s="108">
        <f t="shared" si="25"/>
        <v>177.34803850844477</v>
      </c>
      <c r="G28" s="108">
        <f t="shared" si="4"/>
        <v>220.84131579664347</v>
      </c>
      <c r="H28" s="50">
        <f t="shared" si="5"/>
        <v>0.7802357975503222</v>
      </c>
      <c r="I28" s="49">
        <f t="shared" si="6"/>
        <v>5.526753189761784</v>
      </c>
      <c r="J28" s="49">
        <f t="shared" si="7"/>
        <v>-0.3499882480604095</v>
      </c>
      <c r="K28" s="49">
        <f t="shared" si="8"/>
        <v>0.06521607220231546</v>
      </c>
      <c r="L28" s="49">
        <f t="shared" si="9"/>
        <v>0.5135490901604288</v>
      </c>
      <c r="M28" s="49">
        <f t="shared" si="26"/>
        <v>0.0015214544379431143</v>
      </c>
      <c r="N28" s="49">
        <f t="shared" si="27"/>
        <v>0.1700930832875103</v>
      </c>
      <c r="O28" s="49">
        <f t="shared" si="10"/>
        <v>0.04772711169384322</v>
      </c>
      <c r="P28" s="49">
        <f t="shared" si="11"/>
        <v>0</v>
      </c>
      <c r="Q28" s="49">
        <f t="shared" si="12"/>
        <v>0</v>
      </c>
      <c r="R28" s="206">
        <f t="shared" si="13"/>
        <v>0.35721266269983976</v>
      </c>
      <c r="S28" s="53">
        <f t="shared" si="14"/>
        <v>7.395570935153729</v>
      </c>
      <c r="T28" s="49">
        <f t="shared" si="15"/>
        <v>7.526753189761784</v>
      </c>
      <c r="U28" s="49">
        <f t="shared" si="16"/>
        <v>1.8688177453919446</v>
      </c>
      <c r="V28" s="54">
        <f t="shared" si="17"/>
        <v>-0.3955709351537289</v>
      </c>
      <c r="W28" s="99">
        <f t="shared" si="18"/>
        <v>-15.383965852461625</v>
      </c>
      <c r="X28" s="25">
        <f t="shared" si="31"/>
        <v>-0.1974267532772238</v>
      </c>
      <c r="Y28" s="23">
        <f t="shared" si="19"/>
        <v>1.7566264497877127</v>
      </c>
      <c r="Z28" s="23">
        <f t="shared" si="20"/>
        <v>1.7566264497877127</v>
      </c>
      <c r="AA28" s="214">
        <f>ERF(AH28)+ERF(AI28)-1</f>
        <v>0.7695824477548243</v>
      </c>
      <c r="AB28" s="52">
        <f t="shared" si="21"/>
        <v>7</v>
      </c>
      <c r="AC28" s="143">
        <f t="shared" si="28"/>
        <v>10</v>
      </c>
      <c r="AD28" s="144">
        <f t="shared" si="32"/>
        <v>8.9</v>
      </c>
      <c r="AE28" s="208">
        <f t="shared" si="29"/>
        <v>0</v>
      </c>
      <c r="AF28" s="162">
        <f t="shared" si="22"/>
        <v>1.2289100994445705</v>
      </c>
      <c r="AG28" s="186">
        <f>IF(ABS(AF28)&lt;10,SIGN(AF28)*ERF(ABS(AF28)),SIGN(AF28))</f>
        <v>0.9177788254523321</v>
      </c>
      <c r="AH28" s="202">
        <f t="shared" si="23"/>
        <v>1.557166553386359</v>
      </c>
      <c r="AI28" s="202">
        <f t="shared" si="24"/>
        <v>0.9006536455027819</v>
      </c>
    </row>
    <row r="29" spans="1:35" s="26" customFormat="1" ht="15" customHeight="1">
      <c r="A29" s="127">
        <f t="shared" si="30"/>
        <v>11</v>
      </c>
      <c r="B29" s="49">
        <f t="shared" si="0"/>
        <v>-5.35147669302665</v>
      </c>
      <c r="C29" s="135">
        <f t="shared" si="1"/>
        <v>0.040361999999999995</v>
      </c>
      <c r="D29" s="150">
        <f t="shared" si="2"/>
        <v>5123.553099304245</v>
      </c>
      <c r="E29" s="150">
        <f t="shared" si="3"/>
        <v>90909.09090909091</v>
      </c>
      <c r="F29" s="108">
        <f t="shared" si="25"/>
        <v>178.46006552720863</v>
      </c>
      <c r="G29" s="108">
        <f t="shared" si="4"/>
        <v>221.73532643215785</v>
      </c>
      <c r="H29" s="50">
        <f t="shared" si="5"/>
        <v>0.7931697517548788</v>
      </c>
      <c r="I29" s="49">
        <f t="shared" si="6"/>
        <v>5.655282333709733</v>
      </c>
      <c r="J29" s="49">
        <f t="shared" si="7"/>
        <v>-0.3581275096432097</v>
      </c>
      <c r="K29" s="49">
        <f t="shared" si="8"/>
        <v>0.06809225058127413</v>
      </c>
      <c r="L29" s="49">
        <f t="shared" si="9"/>
        <v>0.5664165368463612</v>
      </c>
      <c r="M29" s="49">
        <f t="shared" si="26"/>
        <v>0.0015153201134272241</v>
      </c>
      <c r="N29" s="49">
        <f t="shared" si="27"/>
        <v>0.16937983053835984</v>
      </c>
      <c r="O29" s="49">
        <f t="shared" si="10"/>
        <v>0.053145595633946136</v>
      </c>
      <c r="P29" s="49">
        <f t="shared" si="11"/>
        <v>0</v>
      </c>
      <c r="Q29" s="49">
        <f t="shared" si="12"/>
        <v>0</v>
      </c>
      <c r="R29" s="206">
        <f t="shared" si="13"/>
        <v>0.35818191524692344</v>
      </c>
      <c r="S29" s="53">
        <f t="shared" si="14"/>
        <v>7.595575963730203</v>
      </c>
      <c r="T29" s="49">
        <f t="shared" si="15"/>
        <v>7.655282333709733</v>
      </c>
      <c r="U29" s="49">
        <f t="shared" si="16"/>
        <v>1.94029363002047</v>
      </c>
      <c r="V29" s="54">
        <f t="shared" si="17"/>
        <v>-0.5955759637302034</v>
      </c>
      <c r="W29" s="99">
        <f t="shared" si="18"/>
        <v>-15.513464248956657</v>
      </c>
      <c r="X29" s="25">
        <f t="shared" si="31"/>
        <v>-0.20281960700631974</v>
      </c>
      <c r="Y29" s="23">
        <f t="shared" si="19"/>
        <v>1.7566264497877127</v>
      </c>
      <c r="Z29" s="23">
        <f t="shared" si="20"/>
        <v>1.7566264497877127</v>
      </c>
      <c r="AA29" s="214">
        <f>ERF(AH29)+ERF(AI29)-1</f>
        <v>0.7671226984364079</v>
      </c>
      <c r="AB29" s="52">
        <f t="shared" si="21"/>
        <v>7</v>
      </c>
      <c r="AC29" s="143">
        <f t="shared" si="28"/>
        <v>10</v>
      </c>
      <c r="AD29" s="144">
        <f t="shared" si="32"/>
        <v>8.9</v>
      </c>
      <c r="AE29" s="208">
        <f t="shared" si="29"/>
        <v>0</v>
      </c>
      <c r="AF29" s="162">
        <f t="shared" si="22"/>
        <v>1.2239552791339212</v>
      </c>
      <c r="AG29" s="186">
        <f>IF(ABS(AF29)&lt;10,SIGN(AF29)*ERF(ABS(AF29)),SIGN(AF29))</f>
        <v>0.9165364670688516</v>
      </c>
      <c r="AH29" s="202">
        <f t="shared" si="23"/>
        <v>1.5508882418408119</v>
      </c>
      <c r="AI29" s="202">
        <f t="shared" si="24"/>
        <v>0.8970223164270307</v>
      </c>
    </row>
    <row r="30" spans="1:35" s="20" customFormat="1" ht="15" customHeight="1">
      <c r="A30" s="126">
        <f t="shared" si="30"/>
        <v>11.25</v>
      </c>
      <c r="B30" s="97">
        <f t="shared" si="0"/>
        <v>-5.35147669302665</v>
      </c>
      <c r="C30" s="134">
        <f t="shared" si="1"/>
        <v>0.040361999999999995</v>
      </c>
      <c r="D30" s="149">
        <f t="shared" si="2"/>
        <v>5009.696363764151</v>
      </c>
      <c r="E30" s="149">
        <f t="shared" si="3"/>
        <v>88888.88888888889</v>
      </c>
      <c r="F30" s="107">
        <f t="shared" si="25"/>
        <v>179.59053158345225</v>
      </c>
      <c r="G30" s="107">
        <f t="shared" si="4"/>
        <v>222.6461745335566</v>
      </c>
      <c r="H30" s="100">
        <f t="shared" si="5"/>
        <v>0.8064408024840723</v>
      </c>
      <c r="I30" s="97">
        <f t="shared" si="6"/>
        <v>5.783811477657682</v>
      </c>
      <c r="J30" s="97">
        <f t="shared" si="7"/>
        <v>-0.36626677122601</v>
      </c>
      <c r="K30" s="97">
        <f t="shared" si="8"/>
        <v>0.07101744512661912</v>
      </c>
      <c r="L30" s="97">
        <f t="shared" si="9"/>
        <v>0.6239694700420104</v>
      </c>
      <c r="M30" s="97">
        <f t="shared" si="26"/>
        <v>0.0015091209211383016</v>
      </c>
      <c r="N30" s="97">
        <f t="shared" si="27"/>
        <v>0.16865927338540893</v>
      </c>
      <c r="O30" s="97">
        <f t="shared" si="10"/>
        <v>0.05918193342386807</v>
      </c>
      <c r="P30" s="97">
        <f t="shared" si="11"/>
        <v>0</v>
      </c>
      <c r="Q30" s="97">
        <f t="shared" si="12"/>
        <v>0</v>
      </c>
      <c r="R30" s="205">
        <f t="shared" si="13"/>
        <v>0.35914719217332647</v>
      </c>
      <c r="S30" s="98">
        <f t="shared" si="14"/>
        <v>7.801210149166368</v>
      </c>
      <c r="T30" s="97">
        <f t="shared" si="15"/>
        <v>7.783811477657682</v>
      </c>
      <c r="U30" s="97">
        <f t="shared" si="16"/>
        <v>2.017398671508686</v>
      </c>
      <c r="V30" s="102">
        <f t="shared" si="17"/>
        <v>-0.8012101491663683</v>
      </c>
      <c r="W30" s="103">
        <f t="shared" si="18"/>
        <v>-15.642958669831009</v>
      </c>
      <c r="X30" s="27">
        <f t="shared" si="31"/>
        <v>-0.20872010814894537</v>
      </c>
      <c r="Y30" s="18">
        <f t="shared" si="19"/>
        <v>1.7566264497877127</v>
      </c>
      <c r="Z30" s="18">
        <f t="shared" si="20"/>
        <v>1.7566264497877127</v>
      </c>
      <c r="AA30" s="216">
        <f>ERF(AH30)+ERF(AI30)-1</f>
        <v>0.7646121599989868</v>
      </c>
      <c r="AB30" s="101">
        <f t="shared" si="21"/>
        <v>7</v>
      </c>
      <c r="AC30" s="192">
        <f t="shared" si="28"/>
        <v>10</v>
      </c>
      <c r="AD30" s="193">
        <f t="shared" si="32"/>
        <v>8.9</v>
      </c>
      <c r="AE30" s="207">
        <f t="shared" si="29"/>
        <v>0</v>
      </c>
      <c r="AF30" s="161">
        <f t="shared" si="22"/>
        <v>1.2189480637863785</v>
      </c>
      <c r="AG30" s="185">
        <f>IF(ABS(AF30)&lt;10,SIGN(AF30)*ERF(ABS(AF30)),SIGN(AF30))</f>
        <v>0.9152655692229882</v>
      </c>
      <c r="AH30" s="200">
        <f t="shared" si="23"/>
        <v>1.5445435399229739</v>
      </c>
      <c r="AI30" s="200">
        <f t="shared" si="24"/>
        <v>0.8933525876497831</v>
      </c>
    </row>
    <row r="31" spans="1:35" s="26" customFormat="1" ht="15" customHeight="1">
      <c r="A31" s="127">
        <f t="shared" si="30"/>
        <v>11.5</v>
      </c>
      <c r="B31" s="49">
        <f t="shared" si="0"/>
        <v>-5.35147669302665</v>
      </c>
      <c r="C31" s="135">
        <f t="shared" si="1"/>
        <v>0.040361999999999995</v>
      </c>
      <c r="D31" s="150">
        <f t="shared" si="2"/>
        <v>4900.789921073627</v>
      </c>
      <c r="E31" s="150">
        <f t="shared" si="3"/>
        <v>86956.52173913043</v>
      </c>
      <c r="F31" s="108">
        <f t="shared" si="25"/>
        <v>180.73909068640043</v>
      </c>
      <c r="G31" s="108">
        <f t="shared" si="4"/>
        <v>223.57365431138544</v>
      </c>
      <c r="H31" s="50">
        <f t="shared" si="5"/>
        <v>0.8200504019857273</v>
      </c>
      <c r="I31" s="49">
        <f t="shared" si="6"/>
        <v>5.9123406216056305</v>
      </c>
      <c r="J31" s="49">
        <f t="shared" si="7"/>
        <v>-0.37440603280881013</v>
      </c>
      <c r="K31" s="49">
        <f t="shared" si="8"/>
        <v>0.0739905948690454</v>
      </c>
      <c r="L31" s="49">
        <f t="shared" si="9"/>
        <v>0.6866576870456746</v>
      </c>
      <c r="M31" s="49">
        <f t="shared" si="26"/>
        <v>0.0015028604378046757</v>
      </c>
      <c r="N31" s="49">
        <f t="shared" si="27"/>
        <v>0.16793183470510775</v>
      </c>
      <c r="O31" s="49">
        <f t="shared" si="10"/>
        <v>0.06592805127969015</v>
      </c>
      <c r="P31" s="49">
        <f t="shared" si="11"/>
        <v>0</v>
      </c>
      <c r="Q31" s="49">
        <f t="shared" si="12"/>
        <v>0</v>
      </c>
      <c r="R31" s="206">
        <f t="shared" si="13"/>
        <v>0.3601075834062626</v>
      </c>
      <c r="S31" s="53">
        <f t="shared" si="14"/>
        <v>8.013016180028094</v>
      </c>
      <c r="T31" s="49">
        <f t="shared" si="15"/>
        <v>7.9123406216056305</v>
      </c>
      <c r="U31" s="49">
        <f t="shared" si="16"/>
        <v>2.1006755584224637</v>
      </c>
      <c r="V31" s="54">
        <f t="shared" si="17"/>
        <v>-1.0130161800280941</v>
      </c>
      <c r="W31" s="99">
        <f t="shared" si="18"/>
        <v>-15.772448205011893</v>
      </c>
      <c r="X31" s="25">
        <f t="shared" si="31"/>
        <v>-0.21520612037968734</v>
      </c>
      <c r="Y31" s="23">
        <f t="shared" si="19"/>
        <v>1.7566264497877127</v>
      </c>
      <c r="Z31" s="23">
        <f t="shared" si="20"/>
        <v>1.7566264497877127</v>
      </c>
      <c r="AA31" s="214">
        <f>ERF(AH31)+ERF(AI31)-1</f>
        <v>0.7620512880150496</v>
      </c>
      <c r="AB31" s="52">
        <f t="shared" si="21"/>
        <v>7</v>
      </c>
      <c r="AC31" s="143">
        <f t="shared" si="28"/>
        <v>10</v>
      </c>
      <c r="AD31" s="144">
        <f t="shared" si="32"/>
        <v>8.9</v>
      </c>
      <c r="AE31" s="208">
        <f t="shared" si="29"/>
        <v>0</v>
      </c>
      <c r="AF31" s="162">
        <f t="shared" si="22"/>
        <v>1.213891342399113</v>
      </c>
      <c r="AG31" s="186">
        <f>IF(ABS(AF31)&lt;10,SIGN(AF31)*ERF(ABS(AF31)),SIGN(AF31))</f>
        <v>0.9139662775484093</v>
      </c>
      <c r="AH31" s="202">
        <f t="shared" si="23"/>
        <v>1.5381361083154037</v>
      </c>
      <c r="AI31" s="202">
        <f t="shared" si="24"/>
        <v>0.8896465764828223</v>
      </c>
    </row>
    <row r="32" spans="1:35" s="26" customFormat="1" ht="15" customHeight="1">
      <c r="A32" s="127">
        <f t="shared" si="30"/>
        <v>11.75</v>
      </c>
      <c r="B32" s="49">
        <f t="shared" si="0"/>
        <v>-5.35147669302665</v>
      </c>
      <c r="C32" s="135">
        <f t="shared" si="1"/>
        <v>0.040361999999999995</v>
      </c>
      <c r="D32" s="150">
        <f t="shared" si="2"/>
        <v>4796.517795093336</v>
      </c>
      <c r="E32" s="150">
        <f t="shared" si="3"/>
        <v>85106.3829787234</v>
      </c>
      <c r="F32" s="108">
        <f t="shared" si="25"/>
        <v>181.90540011537695</v>
      </c>
      <c r="G32" s="108">
        <f t="shared" si="4"/>
        <v>224.51755964987544</v>
      </c>
      <c r="H32" s="50">
        <f t="shared" si="5"/>
        <v>0.8340003499301197</v>
      </c>
      <c r="I32" s="49">
        <f t="shared" si="6"/>
        <v>6.040869765553579</v>
      </c>
      <c r="J32" s="49">
        <f t="shared" si="7"/>
        <v>-0.3825452943916104</v>
      </c>
      <c r="K32" s="49">
        <f t="shared" si="8"/>
        <v>0.07701062614270225</v>
      </c>
      <c r="L32" s="49">
        <f t="shared" si="9"/>
        <v>0.7549967210074977</v>
      </c>
      <c r="M32" s="49">
        <f t="shared" si="26"/>
        <v>0.0014965421881654878</v>
      </c>
      <c r="N32" s="49">
        <f t="shared" si="27"/>
        <v>0.16719793084254092</v>
      </c>
      <c r="O32" s="49">
        <f t="shared" si="10"/>
        <v>0.07349580903546343</v>
      </c>
      <c r="P32" s="49">
        <f t="shared" si="11"/>
        <v>0</v>
      </c>
      <c r="Q32" s="49">
        <f t="shared" si="12"/>
        <v>0</v>
      </c>
      <c r="R32" s="206">
        <f t="shared" si="13"/>
        <v>0.3610618135565432</v>
      </c>
      <c r="S32" s="53">
        <f t="shared" si="14"/>
        <v>8.231622389925743</v>
      </c>
      <c r="T32" s="49">
        <f t="shared" si="15"/>
        <v>8.040869765553579</v>
      </c>
      <c r="U32" s="49">
        <f t="shared" si="16"/>
        <v>2.1907526243721644</v>
      </c>
      <c r="V32" s="54">
        <f t="shared" si="17"/>
        <v>-1.231622389925743</v>
      </c>
      <c r="W32" s="99">
        <f t="shared" si="18"/>
        <v>-15.901931579110121</v>
      </c>
      <c r="X32" s="25">
        <f t="shared" si="31"/>
        <v>-0.22237320545641914</v>
      </c>
      <c r="Y32" s="23">
        <f t="shared" si="19"/>
        <v>1.7566264497877127</v>
      </c>
      <c r="Z32" s="23">
        <f t="shared" si="20"/>
        <v>1.7566264497877127</v>
      </c>
      <c r="AA32" s="214">
        <f>ERF(AH32)+ERF(AI32)-1</f>
        <v>0.7594405522072769</v>
      </c>
      <c r="AB32" s="52">
        <f t="shared" si="21"/>
        <v>7</v>
      </c>
      <c r="AC32" s="143">
        <f t="shared" si="28"/>
        <v>10</v>
      </c>
      <c r="AD32" s="144">
        <f t="shared" si="32"/>
        <v>8.9</v>
      </c>
      <c r="AE32" s="208">
        <f t="shared" si="29"/>
        <v>0</v>
      </c>
      <c r="AF32" s="162">
        <f t="shared" si="22"/>
        <v>1.2087879619765565</v>
      </c>
      <c r="AG32" s="186">
        <f>IF(ABS(AF32)&lt;10,SIGN(AF32)*ERF(ABS(AF32)),SIGN(AF32))</f>
        <v>0.9126387121356787</v>
      </c>
      <c r="AH32" s="202">
        <f t="shared" si="23"/>
        <v>1.5316695544911627</v>
      </c>
      <c r="AI32" s="202">
        <f t="shared" si="24"/>
        <v>0.8859063694619503</v>
      </c>
    </row>
    <row r="33" spans="1:35" s="26" customFormat="1" ht="15" customHeight="1">
      <c r="A33" s="127">
        <f t="shared" si="30"/>
        <v>12</v>
      </c>
      <c r="B33" s="49">
        <f t="shared" si="0"/>
        <v>-5.35147669302665</v>
      </c>
      <c r="C33" s="135">
        <f t="shared" si="1"/>
        <v>0.040361999999999995</v>
      </c>
      <c r="D33" s="150">
        <f t="shared" si="2"/>
        <v>4696.590341028892</v>
      </c>
      <c r="E33" s="150">
        <f t="shared" si="3"/>
        <v>83333.33333333333</v>
      </c>
      <c r="F33" s="108">
        <f t="shared" si="25"/>
        <v>183.08912065273688</v>
      </c>
      <c r="G33" s="108">
        <f t="shared" si="4"/>
        <v>225.4776842647459</v>
      </c>
      <c r="H33" s="50">
        <f t="shared" si="5"/>
        <v>0.8482919920038852</v>
      </c>
      <c r="I33" s="49">
        <f t="shared" si="6"/>
        <v>6.169398909501528</v>
      </c>
      <c r="J33" s="49">
        <f t="shared" si="7"/>
        <v>-0.3906845559744106</v>
      </c>
      <c r="K33" s="49">
        <f t="shared" si="8"/>
        <v>0.08007645322875521</v>
      </c>
      <c r="L33" s="49">
        <f t="shared" si="9"/>
        <v>0.8295821650714688</v>
      </c>
      <c r="M33" s="49">
        <f t="shared" si="26"/>
        <v>0.0014901696418235504</v>
      </c>
      <c r="N33" s="49">
        <f t="shared" si="27"/>
        <v>0.16645797124383344</v>
      </c>
      <c r="O33" s="49">
        <f t="shared" si="10"/>
        <v>0.08202275911181034</v>
      </c>
      <c r="P33" s="49">
        <f t="shared" si="11"/>
        <v>0</v>
      </c>
      <c r="Q33" s="49">
        <f t="shared" si="12"/>
        <v>0</v>
      </c>
      <c r="R33" s="206">
        <f t="shared" si="13"/>
        <v>0.36200879400840735</v>
      </c>
      <c r="S33" s="53">
        <f t="shared" si="14"/>
        <v>8.457762590940932</v>
      </c>
      <c r="T33" s="49">
        <f t="shared" si="15"/>
        <v>8.169398909501528</v>
      </c>
      <c r="U33" s="49">
        <f t="shared" si="16"/>
        <v>2.288363681439405</v>
      </c>
      <c r="V33" s="54">
        <f t="shared" si="17"/>
        <v>-1.4577625909409324</v>
      </c>
      <c r="W33" s="99">
        <f t="shared" si="18"/>
        <v>-16.031407703509934</v>
      </c>
      <c r="X33" s="25">
        <f t="shared" si="31"/>
        <v>-0.23034046673509767</v>
      </c>
      <c r="Y33" s="23">
        <f t="shared" si="19"/>
        <v>1.7566264497877127</v>
      </c>
      <c r="Z33" s="23">
        <f t="shared" si="20"/>
        <v>1.7566264497877127</v>
      </c>
      <c r="AA33" s="214">
        <f>ERF(AH33)+ERF(AI33)-1</f>
        <v>0.7567804796956683</v>
      </c>
      <c r="AB33" s="52">
        <f t="shared" si="21"/>
        <v>7</v>
      </c>
      <c r="AC33" s="143">
        <f t="shared" si="28"/>
        <v>10</v>
      </c>
      <c r="AD33" s="144">
        <f t="shared" si="32"/>
        <v>8.9</v>
      </c>
      <c r="AE33" s="208">
        <f t="shared" si="29"/>
        <v>0</v>
      </c>
      <c r="AF33" s="162">
        <f t="shared" si="22"/>
        <v>1.2036407249883938</v>
      </c>
      <c r="AG33" s="186">
        <f>IF(ABS(AF33)&lt;10,SIGN(AF33)*ERF(ABS(AF33)),SIGN(AF33))</f>
        <v>0.9112830439543879</v>
      </c>
      <c r="AH33" s="202">
        <f t="shared" si="23"/>
        <v>1.5251474294928062</v>
      </c>
      <c r="AI33" s="202">
        <f t="shared" si="24"/>
        <v>0.8821340204839814</v>
      </c>
    </row>
    <row r="34" spans="1:35" s="26" customFormat="1" ht="15" customHeight="1">
      <c r="A34" s="127">
        <f t="shared" si="30"/>
        <v>12.25</v>
      </c>
      <c r="B34" s="49">
        <f t="shared" si="0"/>
        <v>-5.35147669302665</v>
      </c>
      <c r="C34" s="135">
        <f t="shared" si="1"/>
        <v>0.040361999999999995</v>
      </c>
      <c r="D34" s="150">
        <f t="shared" si="2"/>
        <v>4600.741558558915</v>
      </c>
      <c r="E34" s="150">
        <f t="shared" si="3"/>
        <v>81632.6530612245</v>
      </c>
      <c r="F34" s="108">
        <f t="shared" si="25"/>
        <v>184.28991679665515</v>
      </c>
      <c r="G34" s="108">
        <f t="shared" si="4"/>
        <v>226.45382185540183</v>
      </c>
      <c r="H34" s="50">
        <f t="shared" si="5"/>
        <v>0.8629267411933781</v>
      </c>
      <c r="I34" s="49">
        <f t="shared" si="6"/>
        <v>6.297928053449476</v>
      </c>
      <c r="J34" s="49">
        <f t="shared" si="7"/>
        <v>-0.3988238175572108</v>
      </c>
      <c r="K34" s="49">
        <f t="shared" si="8"/>
        <v>0.08318697900299712</v>
      </c>
      <c r="L34" s="49">
        <f t="shared" si="9"/>
        <v>0.9111080763491026</v>
      </c>
      <c r="M34" s="49">
        <f t="shared" si="26"/>
        <v>0.0014837462103622478</v>
      </c>
      <c r="N34" s="49">
        <f t="shared" si="27"/>
        <v>0.16571235812102017</v>
      </c>
      <c r="O34" s="49">
        <f t="shared" si="10"/>
        <v>0.09168001610875262</v>
      </c>
      <c r="P34" s="49">
        <f t="shared" si="11"/>
        <v>0</v>
      </c>
      <c r="Q34" s="49">
        <f t="shared" si="12"/>
        <v>0</v>
      </c>
      <c r="R34" s="206">
        <f t="shared" si="13"/>
        <v>0.36294807817421004</v>
      </c>
      <c r="S34" s="53">
        <f t="shared" si="14"/>
        <v>8.692303323395938</v>
      </c>
      <c r="T34" s="49">
        <f t="shared" si="15"/>
        <v>8.297928053449475</v>
      </c>
      <c r="U34" s="49">
        <f t="shared" si="16"/>
        <v>2.3943752699464627</v>
      </c>
      <c r="V34" s="54">
        <f t="shared" si="17"/>
        <v>-1.6923033233959384</v>
      </c>
      <c r="W34" s="99">
        <f t="shared" si="18"/>
        <v>-16.160876131623684</v>
      </c>
      <c r="X34" s="25">
        <f t="shared" si="31"/>
        <v>-0.23925736463585512</v>
      </c>
      <c r="Y34" s="23">
        <f t="shared" si="19"/>
        <v>1.7566264497877127</v>
      </c>
      <c r="Z34" s="23">
        <f t="shared" si="20"/>
        <v>1.7566264497877127</v>
      </c>
      <c r="AA34" s="214">
        <f>ERF(AH34)+ERF(AI34)-1</f>
        <v>0.7540714844575065</v>
      </c>
      <c r="AB34" s="52">
        <f t="shared" si="21"/>
        <v>7</v>
      </c>
      <c r="AC34" s="143">
        <f t="shared" si="28"/>
        <v>10</v>
      </c>
      <c r="AD34" s="144">
        <f t="shared" si="32"/>
        <v>8.9</v>
      </c>
      <c r="AE34" s="208">
        <f t="shared" si="29"/>
        <v>0</v>
      </c>
      <c r="AF34" s="162">
        <f t="shared" si="22"/>
        <v>1.19845238704082</v>
      </c>
      <c r="AG34" s="186">
        <f>IF(ABS(AF34)&lt;10,SIGN(AF34)*ERF(ABS(AF34)),SIGN(AF34))</f>
        <v>0.9098994449343398</v>
      </c>
      <c r="AH34" s="202">
        <f t="shared" si="23"/>
        <v>1.5185732249816066</v>
      </c>
      <c r="AI34" s="202">
        <f t="shared" si="24"/>
        <v>0.8783315491000332</v>
      </c>
    </row>
    <row r="35" spans="1:35" s="79" customFormat="1" ht="15" customHeight="1">
      <c r="A35" s="128">
        <f t="shared" si="30"/>
        <v>12.5</v>
      </c>
      <c r="B35" s="74">
        <f t="shared" si="0"/>
        <v>-5.35147669302665</v>
      </c>
      <c r="C35" s="136">
        <f t="shared" si="1"/>
        <v>0.040361999999999995</v>
      </c>
      <c r="D35" s="151">
        <f t="shared" si="2"/>
        <v>4508.726727387736</v>
      </c>
      <c r="E35" s="151">
        <f t="shared" si="3"/>
        <v>80000</v>
      </c>
      <c r="F35" s="109">
        <f t="shared" si="25"/>
        <v>185.50745695446395</v>
      </c>
      <c r="G35" s="109">
        <f t="shared" si="4"/>
        <v>227.44576625145672</v>
      </c>
      <c r="H35" s="75">
        <f t="shared" si="5"/>
        <v>0.8779059478172084</v>
      </c>
      <c r="I35" s="74">
        <f t="shared" si="6"/>
        <v>6.426457197397424</v>
      </c>
      <c r="J35" s="74">
        <f t="shared" si="7"/>
        <v>-0.40696307914001106</v>
      </c>
      <c r="K35" s="74">
        <f t="shared" si="8"/>
        <v>0.08634109558697112</v>
      </c>
      <c r="L35" s="74">
        <f t="shared" si="9"/>
        <v>1.000390937560161</v>
      </c>
      <c r="M35" s="74">
        <f t="shared" si="26"/>
        <v>0.0014772752447215448</v>
      </c>
      <c r="N35" s="74">
        <f t="shared" si="27"/>
        <v>0.16496148614871203</v>
      </c>
      <c r="O35" s="74">
        <f t="shared" si="10"/>
        <v>0.10268319946972998</v>
      </c>
      <c r="P35" s="74">
        <f t="shared" si="11"/>
        <v>0</v>
      </c>
      <c r="Q35" s="74">
        <f t="shared" si="12"/>
        <v>0</v>
      </c>
      <c r="R35" s="204">
        <f t="shared" si="13"/>
        <v>0.36387855181940765</v>
      </c>
      <c r="S35" s="77">
        <f t="shared" si="14"/>
        <v>8.936277320212643</v>
      </c>
      <c r="T35" s="74">
        <f t="shared" si="15"/>
        <v>8.426457197397424</v>
      </c>
      <c r="U35" s="74">
        <f t="shared" si="16"/>
        <v>2.509820122815219</v>
      </c>
      <c r="V35" s="102">
        <f t="shared" si="17"/>
        <v>-1.9362773202126426</v>
      </c>
      <c r="W35" s="104">
        <f t="shared" si="18"/>
        <v>-16.29033574921683</v>
      </c>
      <c r="X35" s="78"/>
      <c r="Y35" s="74">
        <f t="shared" si="19"/>
        <v>1.7566264497877127</v>
      </c>
      <c r="Z35" s="74">
        <f t="shared" si="20"/>
        <v>1.7566264497877127</v>
      </c>
      <c r="AA35" s="163">
        <f>ERF(AH35)+ERF(AI35)-1</f>
        <v>0.7513141184492509</v>
      </c>
      <c r="AB35" s="76">
        <f t="shared" si="21"/>
        <v>7</v>
      </c>
      <c r="AC35" s="195">
        <f t="shared" si="28"/>
        <v>10</v>
      </c>
      <c r="AD35" s="196">
        <f>ROUNDUP(E9,0)-0.1</f>
        <v>8.9</v>
      </c>
      <c r="AE35" s="209">
        <f t="shared" si="29"/>
        <v>0</v>
      </c>
      <c r="AF35" s="163">
        <f t="shared" si="22"/>
        <v>1.1932256547570919</v>
      </c>
      <c r="AG35" s="188">
        <f>IF(ABS(AF35)&lt;10,SIGN(AF35)*ERF(ABS(AF35)),SIGN(AF35))</f>
        <v>0.9084881002712075</v>
      </c>
      <c r="AH35" s="199">
        <f t="shared" si="23"/>
        <v>1.5119503705519746</v>
      </c>
      <c r="AI35" s="199">
        <f t="shared" si="24"/>
        <v>0.874500938962209</v>
      </c>
    </row>
    <row r="36" spans="1:31" ht="15" customHeight="1">
      <c r="A36" s="2"/>
      <c r="B36" s="1"/>
      <c r="C36" s="1"/>
      <c r="D36" s="8"/>
      <c r="E36" s="1"/>
      <c r="F36" s="1"/>
      <c r="G36" s="2"/>
      <c r="H36" s="4"/>
      <c r="I36" s="4"/>
      <c r="J36" s="4"/>
      <c r="K36" s="4"/>
      <c r="L36" s="1"/>
      <c r="M36" s="4"/>
      <c r="N36" s="4"/>
      <c r="O36" s="4"/>
      <c r="P36" s="4"/>
      <c r="Q36" s="4"/>
      <c r="R36" s="55"/>
      <c r="S36" s="13"/>
      <c r="U36" s="13"/>
      <c r="V36" s="13"/>
      <c r="W36" s="14"/>
      <c r="AA36" s="5"/>
      <c r="AB36" s="6"/>
      <c r="AE36" s="210">
        <f>SUM(AE15:AE35)</f>
        <v>0.1751155989600841</v>
      </c>
    </row>
    <row r="37" spans="1:27" s="26" customFormat="1" ht="15" customHeight="1">
      <c r="A37" s="80" t="s">
        <v>69</v>
      </c>
      <c r="B37" s="22"/>
      <c r="C37" s="22"/>
      <c r="D37" s="21"/>
      <c r="E37" s="22"/>
      <c r="F37" s="22"/>
      <c r="G37" s="28"/>
      <c r="W37" s="31"/>
      <c r="X37" s="31"/>
      <c r="AA37" s="167"/>
    </row>
    <row r="38" spans="1:28" s="26" customFormat="1" ht="15" customHeight="1">
      <c r="A38" s="29" t="s">
        <v>120</v>
      </c>
      <c r="B38" s="22"/>
      <c r="C38" s="22"/>
      <c r="D38" s="21"/>
      <c r="E38" s="22"/>
      <c r="F38" s="22"/>
      <c r="G38" s="28"/>
      <c r="K38" s="23"/>
      <c r="L38" s="22"/>
      <c r="M38" s="23"/>
      <c r="N38" s="23"/>
      <c r="O38" s="23"/>
      <c r="P38" s="23"/>
      <c r="Q38" s="23"/>
      <c r="R38" s="59"/>
      <c r="S38" s="23"/>
      <c r="T38" s="30"/>
      <c r="U38" s="23"/>
      <c r="W38" s="31"/>
      <c r="X38" s="31"/>
      <c r="AA38" s="167"/>
      <c r="AB38" s="24"/>
    </row>
    <row r="39" spans="1:28" s="26" customFormat="1" ht="15" customHeight="1">
      <c r="A39" s="23"/>
      <c r="B39" s="168"/>
      <c r="C39" s="169"/>
      <c r="D39" s="169"/>
      <c r="E39" s="169"/>
      <c r="F39" s="169"/>
      <c r="G39" s="169"/>
      <c r="H39" s="169"/>
      <c r="I39" s="169"/>
      <c r="J39" s="169"/>
      <c r="K39" s="169"/>
      <c r="L39" s="22"/>
      <c r="M39" s="23"/>
      <c r="N39" s="23"/>
      <c r="O39" s="23"/>
      <c r="P39" s="23"/>
      <c r="Q39" s="23"/>
      <c r="R39" s="59"/>
      <c r="S39" s="23"/>
      <c r="T39" s="30"/>
      <c r="U39" s="23"/>
      <c r="W39" s="31"/>
      <c r="X39" s="31"/>
      <c r="AA39" s="167"/>
      <c r="AB39" s="24"/>
    </row>
    <row r="40" spans="1:28" s="26" customFormat="1" ht="15" customHeight="1">
      <c r="A40" s="29" t="s">
        <v>162</v>
      </c>
      <c r="B40" s="22"/>
      <c r="C40" s="22"/>
      <c r="D40" s="21"/>
      <c r="E40" s="22"/>
      <c r="F40" s="22"/>
      <c r="G40" s="28"/>
      <c r="H40" s="23"/>
      <c r="I40" s="23"/>
      <c r="J40" s="23"/>
      <c r="K40" s="23"/>
      <c r="L40" s="22"/>
      <c r="M40" s="23"/>
      <c r="N40" s="23"/>
      <c r="O40" s="23"/>
      <c r="P40" s="23"/>
      <c r="Q40" s="23"/>
      <c r="R40" s="59"/>
      <c r="S40" s="23"/>
      <c r="T40" s="30"/>
      <c r="U40" s="23"/>
      <c r="W40" s="31"/>
      <c r="X40" s="31"/>
      <c r="AA40" s="167"/>
      <c r="AB40" s="24"/>
    </row>
    <row r="41" spans="2:28" s="26" customFormat="1" ht="15" customHeight="1">
      <c r="B41" s="29" t="s">
        <v>164</v>
      </c>
      <c r="C41" s="22"/>
      <c r="D41" s="21"/>
      <c r="E41" s="22"/>
      <c r="F41" s="22"/>
      <c r="G41" s="28"/>
      <c r="H41" s="23"/>
      <c r="I41" s="23"/>
      <c r="J41" s="23"/>
      <c r="K41" s="23"/>
      <c r="L41" s="22"/>
      <c r="M41" s="23"/>
      <c r="N41" s="23"/>
      <c r="O41" s="23"/>
      <c r="P41" s="23"/>
      <c r="Q41" s="23"/>
      <c r="R41" s="59"/>
      <c r="S41" s="23"/>
      <c r="T41" s="30"/>
      <c r="U41" s="23"/>
      <c r="W41" s="31"/>
      <c r="X41" s="31"/>
      <c r="AA41" s="167"/>
      <c r="AB41" s="24"/>
    </row>
    <row r="42" spans="1:28" s="26" customFormat="1" ht="15" customHeight="1">
      <c r="A42" s="24"/>
      <c r="B42" s="29" t="s">
        <v>163</v>
      </c>
      <c r="C42" s="22"/>
      <c r="D42" s="21"/>
      <c r="E42" s="22"/>
      <c r="F42" s="22"/>
      <c r="G42" s="28"/>
      <c r="H42" s="23"/>
      <c r="I42" s="23"/>
      <c r="J42" s="23"/>
      <c r="K42" s="23"/>
      <c r="L42" s="22"/>
      <c r="M42" s="23"/>
      <c r="N42" s="23"/>
      <c r="O42" s="23"/>
      <c r="P42" s="23"/>
      <c r="Q42" s="23"/>
      <c r="R42" s="59"/>
      <c r="S42" s="23"/>
      <c r="T42" s="30"/>
      <c r="U42" s="23"/>
      <c r="W42" s="31"/>
      <c r="X42" s="31"/>
      <c r="AA42" s="167"/>
      <c r="AB42" s="24"/>
    </row>
    <row r="43" spans="1:28" s="26" customFormat="1" ht="15" customHeight="1">
      <c r="A43" s="28"/>
      <c r="D43" s="21"/>
      <c r="E43" s="22"/>
      <c r="F43" s="22"/>
      <c r="G43" s="28"/>
      <c r="H43" s="23"/>
      <c r="I43" s="23"/>
      <c r="J43" s="23"/>
      <c r="K43" s="23"/>
      <c r="L43" s="22"/>
      <c r="M43" s="23"/>
      <c r="N43" s="23"/>
      <c r="O43" s="23"/>
      <c r="P43" s="23"/>
      <c r="Q43" s="23"/>
      <c r="R43" s="59"/>
      <c r="S43" s="23"/>
      <c r="T43" s="30"/>
      <c r="U43" s="23"/>
      <c r="W43" s="31"/>
      <c r="X43" s="31"/>
      <c r="AA43" s="167"/>
      <c r="AB43" s="24"/>
    </row>
    <row r="44" spans="1:28" s="26" customFormat="1" ht="15" customHeight="1">
      <c r="A44" s="28"/>
      <c r="B44" s="22"/>
      <c r="D44" s="21"/>
      <c r="E44" s="22"/>
      <c r="F44" s="22"/>
      <c r="G44" s="28"/>
      <c r="H44" s="23"/>
      <c r="I44" s="23"/>
      <c r="J44" s="23"/>
      <c r="K44" s="23"/>
      <c r="L44" s="22"/>
      <c r="M44" s="23"/>
      <c r="N44" s="23"/>
      <c r="O44" s="23"/>
      <c r="P44" s="23"/>
      <c r="Q44" s="23"/>
      <c r="R44" s="59"/>
      <c r="S44" s="23"/>
      <c r="T44" s="30"/>
      <c r="U44" s="23"/>
      <c r="W44" s="31"/>
      <c r="X44" s="31"/>
      <c r="AA44" s="167"/>
      <c r="AB44" s="24"/>
    </row>
    <row r="45" spans="1:28" s="26" customFormat="1" ht="15" customHeight="1">
      <c r="A45" s="28"/>
      <c r="B45" s="22"/>
      <c r="D45" s="21"/>
      <c r="E45" s="22"/>
      <c r="F45" s="22"/>
      <c r="G45" s="28"/>
      <c r="H45" s="23"/>
      <c r="I45" s="23"/>
      <c r="J45" s="23"/>
      <c r="K45" s="23"/>
      <c r="L45" s="22"/>
      <c r="M45" s="23"/>
      <c r="N45" s="23"/>
      <c r="O45" s="23"/>
      <c r="P45" s="23"/>
      <c r="Q45" s="23"/>
      <c r="R45" s="59"/>
      <c r="S45" s="23"/>
      <c r="T45" s="30"/>
      <c r="U45" s="23"/>
      <c r="W45" s="31"/>
      <c r="X45" s="31"/>
      <c r="AA45" s="167"/>
      <c r="AB45" s="24"/>
    </row>
    <row r="46" spans="1:28" ht="15" customHeight="1">
      <c r="A46" s="28"/>
      <c r="B46" s="22"/>
      <c r="D46" s="8"/>
      <c r="E46" s="1"/>
      <c r="F46" s="1"/>
      <c r="G46" s="2"/>
      <c r="H46" s="4"/>
      <c r="I46" s="4"/>
      <c r="J46" s="4"/>
      <c r="K46" s="4"/>
      <c r="L46" s="1"/>
      <c r="M46" s="4"/>
      <c r="N46" s="4"/>
      <c r="O46" s="4"/>
      <c r="P46" s="4"/>
      <c r="Q46" s="4"/>
      <c r="R46" s="55"/>
      <c r="S46" s="4"/>
      <c r="U46" s="4"/>
      <c r="AB46" s="6"/>
    </row>
    <row r="47" spans="1:28" ht="15" customHeight="1">
      <c r="A47" s="2"/>
      <c r="B47" s="22"/>
      <c r="C47" s="1"/>
      <c r="D47" s="8"/>
      <c r="E47" s="1"/>
      <c r="F47" s="1"/>
      <c r="G47" s="2"/>
      <c r="H47" s="4"/>
      <c r="I47" s="4"/>
      <c r="J47" s="4"/>
      <c r="K47" s="4"/>
      <c r="L47" s="1"/>
      <c r="M47" s="4"/>
      <c r="N47" s="1"/>
      <c r="O47" s="1"/>
      <c r="P47" s="1"/>
      <c r="Q47" s="4"/>
      <c r="R47" s="55"/>
      <c r="S47" s="4"/>
      <c r="U47" s="4"/>
      <c r="AB47" s="6"/>
    </row>
    <row r="48" spans="1:28" ht="15" customHeight="1">
      <c r="A48" s="2"/>
      <c r="B48" s="22"/>
      <c r="C48" s="1"/>
      <c r="D48" s="8"/>
      <c r="E48" s="1"/>
      <c r="F48" s="1"/>
      <c r="G48" s="2"/>
      <c r="H48" s="4"/>
      <c r="I48" s="4"/>
      <c r="J48" s="4"/>
      <c r="K48" s="4"/>
      <c r="L48" s="1"/>
      <c r="M48" s="4"/>
      <c r="N48" s="1"/>
      <c r="O48" s="1"/>
      <c r="P48" s="1"/>
      <c r="Q48" s="1"/>
      <c r="R48" s="60"/>
      <c r="S48" s="4"/>
      <c r="U48" s="4"/>
      <c r="AB48" s="6"/>
    </row>
    <row r="49" spans="1:28" ht="15" customHeight="1">
      <c r="A49" s="24"/>
      <c r="B49" s="22"/>
      <c r="C49" s="1"/>
      <c r="D49" s="8"/>
      <c r="E49" s="1"/>
      <c r="F49" s="1"/>
      <c r="G49" s="2"/>
      <c r="H49" s="4"/>
      <c r="I49" s="4"/>
      <c r="J49" s="4"/>
      <c r="K49" s="4"/>
      <c r="L49" s="1"/>
      <c r="M49" s="4"/>
      <c r="N49" s="1"/>
      <c r="O49" s="1"/>
      <c r="P49" s="1"/>
      <c r="Q49" s="4"/>
      <c r="R49" s="55"/>
      <c r="S49" s="4"/>
      <c r="U49" s="4"/>
      <c r="AB49" s="6"/>
    </row>
    <row r="50" spans="1:16" ht="15" customHeight="1">
      <c r="A50" s="15"/>
      <c r="B50" s="148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4"/>
      <c r="O50" s="4"/>
      <c r="P50" s="4"/>
    </row>
    <row r="51" spans="1:16" ht="15" customHeight="1">
      <c r="A51" s="24"/>
      <c r="B51" s="148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4"/>
      <c r="O51" s="4"/>
      <c r="P51" s="4"/>
    </row>
    <row r="52" spans="1:16" ht="15" customHeight="1">
      <c r="A52" s="15"/>
      <c r="B52" s="148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4"/>
      <c r="O52" s="4"/>
      <c r="P52" s="4"/>
    </row>
    <row r="53" spans="1:16" ht="1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4"/>
      <c r="O53" s="4"/>
      <c r="P53" s="4"/>
    </row>
    <row r="54" spans="1:16" ht="1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4"/>
      <c r="O54" s="4"/>
      <c r="P54" s="4"/>
    </row>
    <row r="55" spans="1:16" ht="1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4"/>
      <c r="O55" s="4"/>
      <c r="P55" s="4"/>
    </row>
    <row r="56" spans="1:16" ht="1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4"/>
      <c r="O56" s="4"/>
      <c r="P56" s="4"/>
    </row>
    <row r="57" spans="1:16" ht="1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4"/>
      <c r="O57" s="4"/>
      <c r="P57" s="4"/>
    </row>
    <row r="58" spans="1:16" ht="1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4"/>
      <c r="O58" s="4"/>
      <c r="P58" s="4"/>
    </row>
    <row r="59" spans="1:16" ht="1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4"/>
      <c r="O59" s="4"/>
      <c r="P59" s="4"/>
    </row>
    <row r="60" spans="1:16" ht="1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4"/>
      <c r="O60" s="4"/>
      <c r="P60" s="4"/>
    </row>
    <row r="61" spans="1:16" ht="1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4"/>
      <c r="O61" s="4"/>
      <c r="P61" s="4"/>
    </row>
    <row r="62" spans="1:16" ht="1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4"/>
      <c r="O62" s="4"/>
      <c r="P62" s="4"/>
    </row>
    <row r="63" spans="1:16" ht="1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4"/>
      <c r="O63" s="4"/>
      <c r="P63" s="4"/>
    </row>
    <row r="64" spans="1:16" ht="1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4"/>
      <c r="O64" s="4"/>
      <c r="P64" s="4"/>
    </row>
    <row r="65" spans="1:16" ht="1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4"/>
      <c r="O65" s="4"/>
      <c r="P65" s="4"/>
    </row>
    <row r="66" spans="1:16" ht="15" customHeight="1">
      <c r="A66" s="2"/>
      <c r="B66" s="1"/>
      <c r="C66" s="1"/>
      <c r="D66" s="8"/>
      <c r="E66" s="1"/>
      <c r="F66" s="1"/>
      <c r="G66" s="2"/>
      <c r="H66" s="4"/>
      <c r="I66" s="4"/>
      <c r="J66" s="4"/>
      <c r="K66" s="4"/>
      <c r="L66" s="1"/>
      <c r="M66" s="4"/>
      <c r="N66" s="4"/>
      <c r="O66" s="4"/>
      <c r="P66" s="4"/>
    </row>
    <row r="67" spans="1:16" ht="15" customHeight="1">
      <c r="A67" s="2"/>
      <c r="B67" s="1"/>
      <c r="C67" s="1"/>
      <c r="D67" s="8"/>
      <c r="E67" s="1"/>
      <c r="F67" s="1"/>
      <c r="G67" s="2"/>
      <c r="H67" s="4"/>
      <c r="I67" s="4"/>
      <c r="J67" s="4"/>
      <c r="K67" s="4"/>
      <c r="L67" s="1"/>
      <c r="M67" s="4"/>
      <c r="N67" s="4"/>
      <c r="O67" s="4"/>
      <c r="P67" s="4"/>
    </row>
    <row r="68" spans="1:16" ht="15" customHeight="1">
      <c r="A68" s="2"/>
      <c r="B68" s="1"/>
      <c r="C68" s="1"/>
      <c r="D68" s="8"/>
      <c r="E68" s="1"/>
      <c r="F68" s="1"/>
      <c r="G68" s="2"/>
      <c r="H68" s="4"/>
      <c r="I68" s="4"/>
      <c r="J68" s="4"/>
      <c r="K68" s="4"/>
      <c r="L68" s="1"/>
      <c r="M68" s="4"/>
      <c r="N68" s="4"/>
      <c r="O68" s="4"/>
      <c r="P68" s="4"/>
    </row>
    <row r="69" spans="1:16" ht="15" customHeight="1">
      <c r="A69" s="2"/>
      <c r="B69" s="1"/>
      <c r="C69" s="1"/>
      <c r="D69" s="8"/>
      <c r="E69" s="1"/>
      <c r="F69" s="1"/>
      <c r="G69" s="2"/>
      <c r="H69" s="4"/>
      <c r="I69" s="4"/>
      <c r="J69" s="4"/>
      <c r="K69" s="4"/>
      <c r="L69" s="1"/>
      <c r="M69" s="4"/>
      <c r="N69" s="4"/>
      <c r="O69" s="4"/>
      <c r="P69" s="4"/>
    </row>
    <row r="70" spans="1:16" ht="15" customHeight="1">
      <c r="A70" s="2"/>
      <c r="B70" s="1"/>
      <c r="C70" s="1"/>
      <c r="D70" s="8"/>
      <c r="E70" s="1"/>
      <c r="F70" s="1"/>
      <c r="G70" s="2"/>
      <c r="H70" s="4"/>
      <c r="I70" s="4"/>
      <c r="J70" s="4"/>
      <c r="K70" s="4"/>
      <c r="L70" s="1"/>
      <c r="M70" s="4"/>
      <c r="N70" s="4"/>
      <c r="O70" s="4"/>
      <c r="P70" s="4"/>
    </row>
    <row r="71" spans="1:16" ht="15" customHeight="1">
      <c r="A71" s="3"/>
      <c r="B71" s="4"/>
      <c r="C71" s="2"/>
      <c r="D71" s="8"/>
      <c r="E71" s="1"/>
      <c r="F71" s="1"/>
      <c r="G71" s="2"/>
      <c r="H71" s="4"/>
      <c r="I71" s="4"/>
      <c r="J71" s="4"/>
      <c r="K71" s="4"/>
      <c r="L71" s="1"/>
      <c r="M71" s="1"/>
      <c r="N71" s="1"/>
      <c r="O71" s="1"/>
      <c r="P71" s="1"/>
    </row>
    <row r="72" spans="1:16" ht="15" customHeight="1">
      <c r="A72" s="6"/>
      <c r="B72" s="1"/>
      <c r="C72" s="9"/>
      <c r="D72" s="8"/>
      <c r="E72" s="1"/>
      <c r="F72" s="1"/>
      <c r="G72" s="2"/>
      <c r="H72" s="4"/>
      <c r="I72" s="4"/>
      <c r="J72" s="4"/>
      <c r="K72" s="1"/>
      <c r="L72" s="1"/>
      <c r="M72" s="1"/>
      <c r="N72" s="1"/>
      <c r="O72" s="1"/>
      <c r="P72" s="1"/>
    </row>
    <row r="73" spans="1:16" ht="15" customHeight="1">
      <c r="A73" s="4"/>
      <c r="B73" s="4"/>
      <c r="C73" s="4"/>
      <c r="D73" s="8"/>
      <c r="E73" s="1"/>
      <c r="F73" s="1"/>
      <c r="G73" s="2"/>
      <c r="H73" s="4"/>
      <c r="I73" s="4"/>
      <c r="J73" s="4"/>
      <c r="K73" s="4"/>
      <c r="L73" s="1"/>
      <c r="M73" s="1"/>
      <c r="N73" s="1"/>
      <c r="O73" s="1"/>
      <c r="P73" s="1"/>
    </row>
    <row r="74" spans="1:16" ht="15" customHeight="1">
      <c r="A74" s="16"/>
      <c r="B74" s="3"/>
      <c r="C74" s="3"/>
      <c r="D74" s="8"/>
      <c r="E74" s="1"/>
      <c r="F74" s="1"/>
      <c r="G74" s="2"/>
      <c r="H74" s="4"/>
      <c r="I74" s="4"/>
      <c r="J74" s="4"/>
      <c r="K74" s="1"/>
      <c r="L74" s="8"/>
      <c r="M74" s="1"/>
      <c r="N74" s="1"/>
      <c r="O74" s="1"/>
      <c r="P74" s="1"/>
    </row>
    <row r="75" spans="1:16" ht="15" customHeight="1">
      <c r="A75" s="11"/>
      <c r="B75" s="3"/>
      <c r="C75" s="3"/>
      <c r="D75" s="8"/>
      <c r="E75" s="1"/>
      <c r="F75" s="1"/>
      <c r="G75" s="2"/>
      <c r="H75" s="4"/>
      <c r="I75" s="4"/>
      <c r="J75" s="4"/>
      <c r="K75" s="4"/>
      <c r="L75" s="1"/>
      <c r="M75" s="1"/>
      <c r="N75" s="1"/>
      <c r="O75" s="1"/>
      <c r="P75" s="1"/>
    </row>
    <row r="76" spans="1:16" ht="15" customHeight="1">
      <c r="A76" s="11"/>
      <c r="B76" s="3"/>
      <c r="C76" s="3"/>
      <c r="D76" s="8"/>
      <c r="E76" s="1"/>
      <c r="F76" s="1"/>
      <c r="G76" s="2"/>
      <c r="H76" s="4"/>
      <c r="I76" s="4"/>
      <c r="J76" s="4"/>
      <c r="K76" s="4"/>
      <c r="L76" s="1"/>
      <c r="M76" s="1"/>
      <c r="N76" s="1"/>
      <c r="O76" s="1"/>
      <c r="P76" s="1"/>
    </row>
    <row r="77" spans="1:16" ht="15" customHeight="1">
      <c r="A77" s="11"/>
      <c r="B77" s="3"/>
      <c r="C77" s="3"/>
      <c r="D77" s="8"/>
      <c r="E77" s="1"/>
      <c r="F77" s="1"/>
      <c r="G77" s="2"/>
      <c r="H77" s="4"/>
      <c r="I77" s="4"/>
      <c r="J77" s="4"/>
      <c r="K77" s="4"/>
      <c r="L77" s="1"/>
      <c r="M77" s="1"/>
      <c r="N77" s="1"/>
      <c r="O77" s="1"/>
      <c r="P77" s="1"/>
    </row>
    <row r="78" spans="1:16" ht="15" customHeight="1">
      <c r="A78" s="11"/>
      <c r="B78" s="3"/>
      <c r="C78" s="3"/>
      <c r="D78" s="8"/>
      <c r="E78" s="1"/>
      <c r="F78" s="1"/>
      <c r="G78" s="2"/>
      <c r="H78" s="4"/>
      <c r="I78" s="4"/>
      <c r="J78" s="4"/>
      <c r="K78" s="4"/>
      <c r="L78" s="1"/>
      <c r="M78" s="1"/>
      <c r="N78" s="1"/>
      <c r="O78" s="1"/>
      <c r="P78" s="1"/>
    </row>
    <row r="79" spans="1:16" ht="15" customHeight="1">
      <c r="A79" s="11"/>
      <c r="B79" s="3"/>
      <c r="C79" s="3"/>
      <c r="D79" s="8"/>
      <c r="E79" s="1"/>
      <c r="F79" s="1"/>
      <c r="G79" s="2"/>
      <c r="H79" s="4"/>
      <c r="I79" s="4"/>
      <c r="J79" s="4"/>
      <c r="K79" s="4"/>
      <c r="L79" s="1"/>
      <c r="M79" s="1"/>
      <c r="N79" s="1"/>
      <c r="O79" s="1"/>
      <c r="P79" s="1"/>
    </row>
    <row r="80" spans="1:16" ht="15" customHeight="1">
      <c r="A80" s="11"/>
      <c r="B80" s="3"/>
      <c r="C80" s="3"/>
      <c r="D80" s="8"/>
      <c r="E80" s="1"/>
      <c r="F80" s="1"/>
      <c r="G80" s="2"/>
      <c r="H80" s="4"/>
      <c r="I80" s="4"/>
      <c r="J80" s="4"/>
      <c r="K80" s="4"/>
      <c r="L80" s="1"/>
      <c r="M80" s="1"/>
      <c r="N80" s="1"/>
      <c r="O80" s="1"/>
      <c r="P80" s="1"/>
    </row>
    <row r="81" spans="1:16" ht="15" customHeight="1">
      <c r="A81" s="11"/>
      <c r="B81" s="3"/>
      <c r="C81" s="3"/>
      <c r="D81" s="8"/>
      <c r="E81" s="1"/>
      <c r="F81" s="1"/>
      <c r="G81" s="2"/>
      <c r="H81" s="4"/>
      <c r="I81" s="4"/>
      <c r="J81" s="4"/>
      <c r="K81" s="4"/>
      <c r="L81" s="1"/>
      <c r="M81" s="1"/>
      <c r="N81" s="1"/>
      <c r="O81" s="1"/>
      <c r="P81" s="1"/>
    </row>
    <row r="82" spans="1:16" ht="15" customHeight="1">
      <c r="A82" s="11"/>
      <c r="B82" s="3"/>
      <c r="C82" s="3"/>
      <c r="D82" s="8"/>
      <c r="E82" s="1"/>
      <c r="F82" s="1"/>
      <c r="G82" s="2"/>
      <c r="H82" s="4"/>
      <c r="I82" s="4"/>
      <c r="J82" s="4"/>
      <c r="K82" s="4"/>
      <c r="L82" s="1"/>
      <c r="M82" s="1"/>
      <c r="N82" s="1"/>
      <c r="O82" s="1"/>
      <c r="P82" s="1"/>
    </row>
    <row r="83" spans="1:16" ht="15" customHeight="1">
      <c r="A83" s="11"/>
      <c r="B83" s="3"/>
      <c r="C83" s="3"/>
      <c r="D83" s="8"/>
      <c r="E83" s="1"/>
      <c r="F83" s="1"/>
      <c r="G83" s="2"/>
      <c r="H83" s="4"/>
      <c r="I83" s="4"/>
      <c r="J83" s="4"/>
      <c r="K83" s="4"/>
      <c r="L83" s="1"/>
      <c r="M83" s="1"/>
      <c r="N83" s="1"/>
      <c r="O83" s="1"/>
      <c r="P83" s="1"/>
    </row>
    <row r="84" spans="1:16" ht="15" customHeight="1">
      <c r="A84" s="11"/>
      <c r="B84" s="3"/>
      <c r="C84" s="3"/>
      <c r="D84" s="8"/>
      <c r="E84" s="1"/>
      <c r="F84" s="1"/>
      <c r="G84" s="2"/>
      <c r="H84" s="4"/>
      <c r="I84" s="4"/>
      <c r="J84" s="4"/>
      <c r="K84" s="4"/>
      <c r="L84" s="1"/>
      <c r="M84" s="1"/>
      <c r="N84" s="1"/>
      <c r="O84" s="1"/>
      <c r="P84" s="1"/>
    </row>
    <row r="85" spans="1:16" ht="15" customHeight="1">
      <c r="A85" s="2"/>
      <c r="B85" s="1"/>
      <c r="C85" s="1"/>
      <c r="D85" s="8"/>
      <c r="E85" s="1"/>
      <c r="F85" s="1"/>
      <c r="G85" s="2"/>
      <c r="H85" s="4"/>
      <c r="I85" s="4"/>
      <c r="J85" s="4"/>
      <c r="K85" s="4"/>
      <c r="L85" s="1"/>
      <c r="M85" s="17"/>
      <c r="N85" s="4"/>
      <c r="O85" s="4"/>
      <c r="P85" s="4"/>
    </row>
    <row r="86" spans="1:16" ht="15" customHeight="1">
      <c r="A86" s="2"/>
      <c r="B86" s="1"/>
      <c r="C86" s="1"/>
      <c r="D86" s="8"/>
      <c r="E86" s="1"/>
      <c r="F86" s="1"/>
      <c r="G86" s="2"/>
      <c r="H86" s="4"/>
      <c r="I86" s="4"/>
      <c r="J86" s="4"/>
      <c r="K86" s="4"/>
      <c r="L86" s="1"/>
      <c r="M86" s="17"/>
      <c r="N86" s="4"/>
      <c r="O86" s="4"/>
      <c r="P86" s="4"/>
    </row>
    <row r="87" spans="1:16" ht="15" customHeight="1">
      <c r="A87" s="2"/>
      <c r="B87" s="1"/>
      <c r="C87" s="1"/>
      <c r="D87" s="8"/>
      <c r="E87" s="1"/>
      <c r="F87" s="1"/>
      <c r="G87" s="2"/>
      <c r="H87" s="4"/>
      <c r="I87" s="4"/>
      <c r="J87" s="4"/>
      <c r="K87" s="4"/>
      <c r="L87" s="1"/>
      <c r="M87" s="4"/>
      <c r="N87" s="4"/>
      <c r="O87" s="4"/>
      <c r="P87" s="4"/>
    </row>
    <row r="88" spans="1:16" ht="15" customHeight="1">
      <c r="A88" s="2"/>
      <c r="B88" s="1"/>
      <c r="C88" s="1"/>
      <c r="D88" s="8"/>
      <c r="E88" s="1"/>
      <c r="F88" s="1"/>
      <c r="G88" s="2"/>
      <c r="H88" s="4"/>
      <c r="I88" s="4"/>
      <c r="J88" s="4"/>
      <c r="K88" s="4"/>
      <c r="L88" s="1"/>
      <c r="M88" s="4"/>
      <c r="N88" s="4"/>
      <c r="O88" s="4"/>
      <c r="P88" s="4"/>
    </row>
    <row r="89" spans="1:16" ht="15" customHeight="1">
      <c r="A89" s="2"/>
      <c r="B89" s="1"/>
      <c r="C89" s="1"/>
      <c r="D89" s="8"/>
      <c r="E89" s="1"/>
      <c r="F89" s="1"/>
      <c r="G89" s="2"/>
      <c r="H89" s="4"/>
      <c r="I89" s="4"/>
      <c r="J89" s="4"/>
      <c r="K89" s="4"/>
      <c r="L89" s="1"/>
      <c r="M89" s="4"/>
      <c r="N89" s="4"/>
      <c r="O89" s="4"/>
      <c r="P89" s="4"/>
    </row>
    <row r="90" spans="1:16" ht="15" customHeight="1">
      <c r="A90" s="2"/>
      <c r="B90" s="1"/>
      <c r="C90" s="1"/>
      <c r="D90" s="8"/>
      <c r="E90" s="1"/>
      <c r="F90" s="1"/>
      <c r="G90" s="2"/>
      <c r="H90" s="4"/>
      <c r="I90" s="4"/>
      <c r="J90" s="4"/>
      <c r="K90" s="4"/>
      <c r="L90" s="1"/>
      <c r="M90" s="4"/>
      <c r="N90" s="4"/>
      <c r="O90" s="4"/>
      <c r="P90" s="4"/>
    </row>
    <row r="91" spans="1:16" ht="15" customHeight="1">
      <c r="A91" s="2"/>
      <c r="B91" s="1"/>
      <c r="C91" s="1"/>
      <c r="D91" s="8"/>
      <c r="E91" s="1"/>
      <c r="F91" s="1"/>
      <c r="G91" s="2"/>
      <c r="H91" s="4"/>
      <c r="I91" s="4"/>
      <c r="J91" s="4"/>
      <c r="K91" s="4"/>
      <c r="L91" s="1"/>
      <c r="M91" s="4"/>
      <c r="N91" s="4"/>
      <c r="O91" s="4"/>
      <c r="P91" s="4"/>
    </row>
    <row r="92" spans="1:16" ht="15" customHeight="1">
      <c r="A92" s="2"/>
      <c r="B92" s="1"/>
      <c r="C92" s="1"/>
      <c r="D92" s="8"/>
      <c r="E92" s="1"/>
      <c r="F92" s="1"/>
      <c r="G92" s="2"/>
      <c r="H92" s="4"/>
      <c r="I92" s="4"/>
      <c r="J92" s="4"/>
      <c r="K92" s="4"/>
      <c r="L92" s="1"/>
      <c r="M92" s="4"/>
      <c r="N92" s="4"/>
      <c r="O92" s="4"/>
      <c r="P92" s="4"/>
    </row>
    <row r="93" spans="1:16" ht="15" customHeight="1">
      <c r="A93" s="2"/>
      <c r="B93" s="1"/>
      <c r="C93" s="1"/>
      <c r="D93" s="8"/>
      <c r="E93" s="1"/>
      <c r="F93" s="1"/>
      <c r="G93" s="2"/>
      <c r="H93" s="4"/>
      <c r="I93" s="4"/>
      <c r="J93" s="4"/>
      <c r="K93" s="4"/>
      <c r="L93" s="1"/>
      <c r="M93" s="4"/>
      <c r="N93" s="4"/>
      <c r="O93" s="4"/>
      <c r="P93" s="4"/>
    </row>
    <row r="94" spans="1:16" ht="15" customHeight="1">
      <c r="A94" s="2"/>
      <c r="B94" s="1"/>
      <c r="C94" s="1"/>
      <c r="D94" s="8"/>
      <c r="E94" s="1"/>
      <c r="F94" s="1"/>
      <c r="G94" s="2"/>
      <c r="H94" s="4"/>
      <c r="I94" s="4"/>
      <c r="J94" s="4"/>
      <c r="K94" s="4"/>
      <c r="L94" s="1"/>
      <c r="M94" s="4"/>
      <c r="N94" s="4"/>
      <c r="O94" s="4"/>
      <c r="P94" s="4"/>
    </row>
    <row r="95" spans="1:16" ht="15" customHeight="1">
      <c r="A95" s="2"/>
      <c r="B95" s="1"/>
      <c r="C95" s="1"/>
      <c r="D95" s="8"/>
      <c r="E95" s="1"/>
      <c r="F95" s="1"/>
      <c r="G95" s="2"/>
      <c r="H95" s="4"/>
      <c r="I95" s="4"/>
      <c r="J95" s="4"/>
      <c r="K95" s="4"/>
      <c r="L95" s="1"/>
      <c r="M95" s="4"/>
      <c r="N95" s="4"/>
      <c r="O95" s="4"/>
      <c r="P95" s="4"/>
    </row>
    <row r="96" spans="1:16" ht="15" customHeight="1">
      <c r="A96" s="2"/>
      <c r="B96" s="1"/>
      <c r="C96" s="1"/>
      <c r="D96" s="8"/>
      <c r="E96" s="1"/>
      <c r="F96" s="1"/>
      <c r="G96" s="2"/>
      <c r="H96" s="4"/>
      <c r="I96" s="4"/>
      <c r="J96" s="4"/>
      <c r="K96" s="4"/>
      <c r="L96" s="1"/>
      <c r="M96" s="4"/>
      <c r="N96" s="4"/>
      <c r="O96" s="4"/>
      <c r="P96" s="4"/>
    </row>
    <row r="97" spans="1:16" ht="15" customHeight="1">
      <c r="A97" s="2"/>
      <c r="B97" s="1"/>
      <c r="C97" s="1"/>
      <c r="D97" s="8"/>
      <c r="E97" s="1"/>
      <c r="F97" s="1"/>
      <c r="G97" s="2"/>
      <c r="H97" s="4"/>
      <c r="I97" s="4"/>
      <c r="J97" s="4"/>
      <c r="K97" s="4"/>
      <c r="L97" s="1"/>
      <c r="M97" s="4"/>
      <c r="N97" s="4"/>
      <c r="O97" s="4"/>
      <c r="P97" s="4"/>
    </row>
  </sheetData>
  <mergeCells count="1">
    <mergeCell ref="P1:Q1"/>
  </mergeCells>
  <printOptions horizontalCentered="1"/>
  <pageMargins left="0.5" right="0.5" top="0.5" bottom="0.6" header="0.3" footer="0.4"/>
  <pageSetup fitToHeight="1" fitToWidth="1" horizontalDpi="600" verticalDpi="600" orientation="landscape" scale="69" r:id="rId2"/>
  <headerFooter alignWithMargins="0">
    <oddHeader xml:space="preserve">&amp;CSpreadsheet by Agilent Technologies&amp;R </oddHeader>
    <oddFooter>&amp;L&amp;F tab &amp;A page &amp;P of &amp;N&amp;RPrinted &amp;T 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7"/>
  <sheetViews>
    <sheetView showGridLines="0" showOutlineSymbols="0" zoomScale="70" zoomScaleNormal="70" workbookViewId="0" topLeftCell="A1">
      <selection activeCell="A3" sqref="A3"/>
    </sheetView>
  </sheetViews>
  <sheetFormatPr defaultColWidth="9.140625" defaultRowHeight="12.75"/>
  <cols>
    <col min="1" max="1" width="10.7109375" style="5" customWidth="1"/>
    <col min="2" max="3" width="10.8515625" style="5" customWidth="1"/>
    <col min="4" max="4" width="9.7109375" style="5" customWidth="1"/>
    <col min="5" max="5" width="10.7109375" style="5" customWidth="1"/>
    <col min="6" max="6" width="6.57421875" style="5" customWidth="1"/>
    <col min="7" max="8" width="6.7109375" style="5" customWidth="1"/>
    <col min="9" max="9" width="7.28125" style="5" customWidth="1"/>
    <col min="10" max="10" width="7.7109375" style="5" customWidth="1"/>
    <col min="11" max="11" width="7.28125" style="5" customWidth="1"/>
    <col min="12" max="12" width="6.57421875" style="5" customWidth="1"/>
    <col min="13" max="14" width="6.28125" style="5" customWidth="1"/>
    <col min="15" max="17" width="7.7109375" style="5" customWidth="1"/>
    <col min="18" max="18" width="8.421875" style="56" customWidth="1"/>
    <col min="19" max="19" width="6.57421875" style="5" customWidth="1"/>
    <col min="20" max="20" width="7.28125" style="7" customWidth="1"/>
    <col min="21" max="21" width="7.421875" style="5" customWidth="1"/>
    <col min="22" max="22" width="7.7109375" style="5" customWidth="1"/>
    <col min="23" max="23" width="11.140625" style="10" customWidth="1"/>
    <col min="24" max="24" width="8.8515625" style="10" customWidth="1"/>
    <col min="25" max="25" width="8.140625" style="5" customWidth="1"/>
    <col min="26" max="26" width="7.57421875" style="5" customWidth="1"/>
    <col min="27" max="27" width="10.00390625" style="166" customWidth="1"/>
    <col min="28" max="28" width="6.00390625" style="5" customWidth="1"/>
    <col min="29" max="29" width="6.7109375" style="5" customWidth="1"/>
    <col min="30" max="30" width="7.140625" style="5" customWidth="1"/>
    <col min="31" max="32" width="10.00390625" style="5" customWidth="1"/>
    <col min="33" max="16384" width="11.140625" style="5" customWidth="1"/>
  </cols>
  <sheetData>
    <row r="1" spans="1:32" s="133" customFormat="1" ht="15">
      <c r="A1" s="130" t="s">
        <v>121</v>
      </c>
      <c r="B1" s="113"/>
      <c r="C1" s="113"/>
      <c r="D1" s="113"/>
      <c r="E1" s="117"/>
      <c r="F1" s="117"/>
      <c r="G1" s="117"/>
      <c r="H1" s="117"/>
      <c r="I1" s="117"/>
      <c r="J1" s="117"/>
      <c r="K1" s="117"/>
      <c r="L1" s="131" t="s">
        <v>76</v>
      </c>
      <c r="M1" s="113" t="s">
        <v>142</v>
      </c>
      <c r="N1" s="117"/>
      <c r="O1" s="138" t="s">
        <v>60</v>
      </c>
      <c r="P1" s="260">
        <f>Notes!D17</f>
        <v>36714</v>
      </c>
      <c r="Q1" s="261"/>
      <c r="R1" s="224" t="s">
        <v>1</v>
      </c>
      <c r="S1" s="230"/>
      <c r="T1" s="234" t="s">
        <v>145</v>
      </c>
      <c r="U1" s="230" t="str">
        <f>Notes!A1</f>
        <v>5pmd047.xls</v>
      </c>
      <c r="V1" s="223"/>
      <c r="W1" s="231">
        <f>Notes!D1</f>
        <v>36714</v>
      </c>
      <c r="Z1" s="51"/>
      <c r="AA1" s="164"/>
      <c r="AB1" s="226"/>
      <c r="AC1" s="51"/>
      <c r="AD1" s="51"/>
      <c r="AE1" s="51"/>
      <c r="AF1" s="51"/>
    </row>
    <row r="2" spans="1:32" ht="15.75">
      <c r="A2" s="62" t="s">
        <v>2</v>
      </c>
      <c r="B2" s="121" t="s">
        <v>3</v>
      </c>
      <c r="C2" s="73"/>
      <c r="D2" s="65"/>
      <c r="E2" s="73"/>
      <c r="F2" s="73"/>
      <c r="G2" s="62"/>
      <c r="H2" s="61"/>
      <c r="I2" s="65" t="s">
        <v>104</v>
      </c>
      <c r="J2" s="137">
        <v>10</v>
      </c>
      <c r="K2" s="61" t="s">
        <v>105</v>
      </c>
      <c r="L2" s="61"/>
      <c r="M2" s="73"/>
      <c r="N2" s="61"/>
      <c r="O2" s="62" t="s">
        <v>110</v>
      </c>
      <c r="P2" s="146">
        <f>1000000/$P$6</f>
        <v>88.96969696969697</v>
      </c>
      <c r="Q2" s="61" t="s">
        <v>99</v>
      </c>
      <c r="R2" s="250" t="str">
        <f>Notes!G17</f>
        <v>2.3.5</v>
      </c>
      <c r="S2" s="46"/>
      <c r="T2" s="235"/>
      <c r="U2" s="46"/>
      <c r="V2" s="232" t="s">
        <v>1</v>
      </c>
      <c r="W2" s="233" t="str">
        <f>Notes!F1</f>
        <v>0.4.7</v>
      </c>
      <c r="X2" s="6"/>
      <c r="Y2" s="1"/>
      <c r="Z2" s="1"/>
      <c r="AA2" s="165"/>
      <c r="AB2" s="66"/>
      <c r="AC2" s="1"/>
      <c r="AD2" s="1"/>
      <c r="AE2" s="1"/>
      <c r="AF2" s="1"/>
    </row>
    <row r="3" spans="1:32" ht="15" customHeight="1">
      <c r="A3" s="73"/>
      <c r="B3" s="73"/>
      <c r="C3" s="73"/>
      <c r="D3" s="65" t="s">
        <v>5</v>
      </c>
      <c r="E3" s="152">
        <v>1000000</v>
      </c>
      <c r="F3" s="61"/>
      <c r="G3" s="61"/>
      <c r="H3" s="73"/>
      <c r="I3" s="62" t="s">
        <v>107</v>
      </c>
      <c r="J3" s="120">
        <v>7.5</v>
      </c>
      <c r="K3" s="73" t="s">
        <v>105</v>
      </c>
      <c r="L3" s="61"/>
      <c r="M3" s="73"/>
      <c r="N3" s="61"/>
      <c r="O3" s="62" t="s">
        <v>4</v>
      </c>
      <c r="P3" s="49">
        <f>IF($B$4&gt;1000,$E$6/1.5,$E$6/3.5)</f>
        <v>0.3333333333333333</v>
      </c>
      <c r="Q3" s="61"/>
      <c r="R3" s="81"/>
      <c r="S3" s="85"/>
      <c r="T3" s="82"/>
      <c r="U3" s="67"/>
      <c r="V3" s="73"/>
      <c r="W3" s="66"/>
      <c r="X3" s="6"/>
      <c r="Y3" s="1"/>
      <c r="Z3" s="1"/>
      <c r="AA3" s="165"/>
      <c r="AB3" s="84"/>
      <c r="AC3" s="1"/>
      <c r="AD3" s="1"/>
      <c r="AE3" s="1"/>
      <c r="AF3" s="1"/>
    </row>
    <row r="4" spans="1:32" ht="15" customHeight="1">
      <c r="A4" s="62" t="s">
        <v>55</v>
      </c>
      <c r="B4" s="86">
        <v>1290</v>
      </c>
      <c r="C4" s="73"/>
      <c r="D4" s="65" t="s">
        <v>9</v>
      </c>
      <c r="E4" s="83">
        <v>0.093</v>
      </c>
      <c r="F4" s="61"/>
      <c r="G4" s="61"/>
      <c r="H4" s="73"/>
      <c r="I4" s="62" t="s">
        <v>108</v>
      </c>
      <c r="J4" s="219">
        <v>0.25</v>
      </c>
      <c r="K4" s="61" t="s">
        <v>105</v>
      </c>
      <c r="L4" s="61"/>
      <c r="M4" s="61"/>
      <c r="N4" s="61"/>
      <c r="O4" s="62" t="s">
        <v>6</v>
      </c>
      <c r="P4" s="146">
        <f>B7*1.518</f>
        <v>60.72</v>
      </c>
      <c r="Q4" s="73" t="s">
        <v>99</v>
      </c>
      <c r="R4" s="87" t="s">
        <v>7</v>
      </c>
      <c r="S4" s="85"/>
      <c r="T4" s="82"/>
      <c r="U4" s="67"/>
      <c r="V4" s="73"/>
      <c r="W4" s="66"/>
      <c r="X4" s="6"/>
      <c r="Y4" s="1"/>
      <c r="Z4" s="1"/>
      <c r="AA4" s="165"/>
      <c r="AB4" s="85"/>
      <c r="AC4" s="1"/>
      <c r="AD4" s="1"/>
      <c r="AE4" s="1"/>
      <c r="AF4" s="1"/>
    </row>
    <row r="5" spans="1:32" ht="15" customHeight="1">
      <c r="A5" s="62" t="s">
        <v>8</v>
      </c>
      <c r="B5" s="88">
        <v>0.4</v>
      </c>
      <c r="C5" s="73"/>
      <c r="D5" s="65" t="s">
        <v>56</v>
      </c>
      <c r="E5" s="83">
        <v>1324</v>
      </c>
      <c r="F5" s="61"/>
      <c r="G5" s="61"/>
      <c r="H5" s="73"/>
      <c r="I5" s="62" t="s">
        <v>12</v>
      </c>
      <c r="J5" s="89">
        <v>480</v>
      </c>
      <c r="K5" s="61" t="s">
        <v>103</v>
      </c>
      <c r="L5" s="73"/>
      <c r="M5" s="67"/>
      <c r="N5" s="61"/>
      <c r="O5" s="62" t="s">
        <v>10</v>
      </c>
      <c r="P5" s="97">
        <v>0.7</v>
      </c>
      <c r="Q5" s="61"/>
      <c r="R5" s="87" t="s">
        <v>11</v>
      </c>
      <c r="S5" s="81"/>
      <c r="T5" s="82"/>
      <c r="U5" s="67"/>
      <c r="V5" s="73"/>
      <c r="W5" s="66"/>
      <c r="X5" s="6"/>
      <c r="Y5" s="1"/>
      <c r="Z5" s="1"/>
      <c r="AA5" s="165"/>
      <c r="AB5" s="85"/>
      <c r="AC5" s="1"/>
      <c r="AD5" s="1"/>
      <c r="AE5" s="1"/>
      <c r="AF5" s="1"/>
    </row>
    <row r="6" spans="1:32" ht="15" customHeight="1">
      <c r="A6" s="62" t="s">
        <v>74</v>
      </c>
      <c r="B6" s="83">
        <v>6</v>
      </c>
      <c r="C6" s="73" t="s">
        <v>63</v>
      </c>
      <c r="D6" s="65" t="s">
        <v>95</v>
      </c>
      <c r="E6" s="83">
        <v>0.5</v>
      </c>
      <c r="F6" s="61" t="str">
        <f>"dB/km at "&amp;IF(B4&lt;1000,850,1300)&amp;" nm"</f>
        <v>dB/km at 1300 nm</v>
      </c>
      <c r="G6" s="61"/>
      <c r="H6" s="73"/>
      <c r="I6" s="62" t="s">
        <v>15</v>
      </c>
      <c r="J6" s="88">
        <v>7.037</v>
      </c>
      <c r="K6" s="61"/>
      <c r="L6" s="61"/>
      <c r="M6" s="67"/>
      <c r="N6" s="61"/>
      <c r="O6" s="65" t="s">
        <v>13</v>
      </c>
      <c r="P6" s="90">
        <f>(P7)</f>
        <v>11239.782016348774</v>
      </c>
      <c r="Q6" s="66"/>
      <c r="R6" s="85"/>
      <c r="S6" s="66" t="s">
        <v>47</v>
      </c>
      <c r="T6" s="52">
        <f>$E$9-$E$10</f>
        <v>8</v>
      </c>
      <c r="U6" s="246" t="s">
        <v>63</v>
      </c>
      <c r="V6" s="73"/>
      <c r="W6" s="66"/>
      <c r="Y6" s="175" t="s">
        <v>127</v>
      </c>
      <c r="Z6" s="176">
        <f>$Z$8*$P$2/(SQRT(8)*$T$9)</f>
        <v>1.8929899758366002</v>
      </c>
      <c r="AA6" s="177" t="s">
        <v>77</v>
      </c>
      <c r="AB6" s="61"/>
      <c r="AC6" s="1"/>
      <c r="AD6" s="1"/>
      <c r="AE6" s="1"/>
      <c r="AF6" s="1"/>
    </row>
    <row r="7" spans="1:32" ht="15" customHeight="1">
      <c r="A7" s="62" t="s">
        <v>14</v>
      </c>
      <c r="B7" s="83">
        <v>40</v>
      </c>
      <c r="C7" s="73" t="s">
        <v>99</v>
      </c>
      <c r="D7" s="62" t="s">
        <v>96</v>
      </c>
      <c r="E7" s="155">
        <v>10312.5</v>
      </c>
      <c r="F7" s="73" t="s">
        <v>101</v>
      </c>
      <c r="G7" s="67"/>
      <c r="H7" s="67"/>
      <c r="I7" s="65" t="s">
        <v>100</v>
      </c>
      <c r="J7" s="154">
        <f>2.5*10^5/$E$7</f>
        <v>24.242424242424242</v>
      </c>
      <c r="K7" s="67" t="s">
        <v>99</v>
      </c>
      <c r="L7" s="61"/>
      <c r="M7" s="67"/>
      <c r="N7" s="61"/>
      <c r="O7" s="65" t="s">
        <v>16</v>
      </c>
      <c r="P7" s="91">
        <f>1/((1/$E$7)-$J$8*10^-6)</f>
        <v>11239.782016348774</v>
      </c>
      <c r="Q7" s="66"/>
      <c r="R7" s="85"/>
      <c r="S7" s="93" t="s">
        <v>33</v>
      </c>
      <c r="T7" s="118">
        <f>AE36</f>
        <v>0.6879954905160712</v>
      </c>
      <c r="U7" s="94" t="str">
        <f>"dB at target "&amp;J2&amp;" km"</f>
        <v>dB at target 10 km</v>
      </c>
      <c r="V7" s="73"/>
      <c r="W7" s="122"/>
      <c r="Y7" s="175" t="s">
        <v>128</v>
      </c>
      <c r="Z7" s="178">
        <f>IF(ABS($Z$6)&lt;10,SIGN($Z$6)*ERF(ABS($Z$6)),SIGN($Z$6))</f>
        <v>0.9925735779134015</v>
      </c>
      <c r="AA7" s="177" t="s">
        <v>77</v>
      </c>
      <c r="AB7" s="61"/>
      <c r="AC7" s="1"/>
      <c r="AD7" s="1"/>
      <c r="AE7" s="1"/>
      <c r="AF7" s="1"/>
    </row>
    <row r="8" spans="1:32" ht="15" customHeight="1">
      <c r="A8" s="62" t="s">
        <v>86</v>
      </c>
      <c r="B8" s="83">
        <v>-130</v>
      </c>
      <c r="C8" s="105" t="s">
        <v>85</v>
      </c>
      <c r="D8" s="65" t="s">
        <v>97</v>
      </c>
      <c r="E8" s="152">
        <v>7725</v>
      </c>
      <c r="F8" s="73" t="s">
        <v>102</v>
      </c>
      <c r="G8" s="67"/>
      <c r="H8" s="61"/>
      <c r="I8" s="65" t="s">
        <v>19</v>
      </c>
      <c r="J8" s="83">
        <v>8</v>
      </c>
      <c r="K8" s="61"/>
      <c r="L8" s="61"/>
      <c r="M8" s="61"/>
      <c r="N8" s="61"/>
      <c r="O8" s="62" t="s">
        <v>17</v>
      </c>
      <c r="P8" s="63">
        <f>(10^-6)*$J$7*$P$7</f>
        <v>0.2724795640326975</v>
      </c>
      <c r="Q8" s="66"/>
      <c r="R8" s="85"/>
      <c r="S8" s="65" t="s">
        <v>112</v>
      </c>
      <c r="T8" s="49">
        <f>$P$3*((1/(0.00094*$B$4)^4)+1.05)</f>
        <v>0.5041730590745426</v>
      </c>
      <c r="U8" s="61" t="str">
        <f>"dB/km at "&amp;B4&amp;" nm"</f>
        <v>dB/km at 1290 nm</v>
      </c>
      <c r="V8" s="73"/>
      <c r="W8" s="66"/>
      <c r="Y8" s="175" t="s">
        <v>129</v>
      </c>
      <c r="Z8" s="179">
        <v>2.563</v>
      </c>
      <c r="AA8" s="177" t="s">
        <v>77</v>
      </c>
      <c r="AB8" s="61"/>
      <c r="AC8" s="1"/>
      <c r="AD8" s="1"/>
      <c r="AE8" s="1"/>
      <c r="AF8" s="1"/>
    </row>
    <row r="9" spans="1:32" ht="15" customHeight="1">
      <c r="A9" s="62" t="s">
        <v>18</v>
      </c>
      <c r="B9" s="83">
        <v>0</v>
      </c>
      <c r="C9" s="73"/>
      <c r="D9" s="65" t="s">
        <v>67</v>
      </c>
      <c r="E9" s="83">
        <v>10</v>
      </c>
      <c r="F9" s="73"/>
      <c r="G9" s="73"/>
      <c r="H9" s="61"/>
      <c r="I9" s="65" t="s">
        <v>22</v>
      </c>
      <c r="J9" s="129">
        <v>-4</v>
      </c>
      <c r="K9" s="67"/>
      <c r="L9" s="61"/>
      <c r="M9" s="67"/>
      <c r="N9" s="61"/>
      <c r="O9" s="62" t="s">
        <v>20</v>
      </c>
      <c r="P9" s="92">
        <f>(P8)</f>
        <v>0.2724795640326975</v>
      </c>
      <c r="Q9" s="66"/>
      <c r="R9" s="85"/>
      <c r="S9" s="93" t="s">
        <v>73</v>
      </c>
      <c r="T9" s="145">
        <f>T10*1000/$E$8</f>
        <v>42.58899676375405</v>
      </c>
      <c r="U9" s="94" t="s">
        <v>99</v>
      </c>
      <c r="V9" s="32"/>
      <c r="W9" s="41"/>
      <c r="Y9" s="180" t="s">
        <v>98</v>
      </c>
      <c r="Z9" s="202">
        <f>ERF(MAX(MIN($Z$8*$P$2*($P$9+1)/(SQRT(8)*$T$9),10),-10))+ERF(MAX(MIN($Z$8*$P$2*(1-$P$9)/(SQRT(8)*$T$9),10),-10))-1</f>
        <v>0.9478839331808959</v>
      </c>
      <c r="AA9" s="181" t="s">
        <v>77</v>
      </c>
      <c r="AB9" s="61"/>
      <c r="AC9" s="1"/>
      <c r="AD9" s="1"/>
      <c r="AE9" s="1"/>
      <c r="AF9" s="1"/>
    </row>
    <row r="10" spans="1:32" ht="15" customHeight="1">
      <c r="A10" s="62" t="s">
        <v>21</v>
      </c>
      <c r="B10" s="83">
        <v>0</v>
      </c>
      <c r="C10" s="73"/>
      <c r="D10" s="65" t="s">
        <v>68</v>
      </c>
      <c r="E10" s="83">
        <v>2</v>
      </c>
      <c r="F10" s="73"/>
      <c r="G10" s="62"/>
      <c r="H10" s="61"/>
      <c r="I10" s="62" t="s">
        <v>26</v>
      </c>
      <c r="J10" s="119">
        <v>6</v>
      </c>
      <c r="K10" s="61"/>
      <c r="L10" s="61"/>
      <c r="M10" s="67"/>
      <c r="N10" s="61"/>
      <c r="O10" s="62" t="s">
        <v>23</v>
      </c>
      <c r="P10" s="49">
        <f>S35-$T$6</f>
        <v>0.8663414830317375</v>
      </c>
      <c r="Q10" s="67" t="s">
        <v>24</v>
      </c>
      <c r="R10" s="85"/>
      <c r="S10" s="211" t="s">
        <v>171</v>
      </c>
      <c r="T10" s="247">
        <v>329</v>
      </c>
      <c r="U10" s="248" t="s">
        <v>103</v>
      </c>
      <c r="V10" s="73"/>
      <c r="W10" s="106" t="s">
        <v>25</v>
      </c>
      <c r="X10" s="66"/>
      <c r="Y10" s="61"/>
      <c r="Z10" s="73"/>
      <c r="AA10" s="158"/>
      <c r="AB10" s="61"/>
      <c r="AC10" s="1"/>
      <c r="AD10" s="1"/>
      <c r="AE10" s="1"/>
      <c r="AF10" s="1"/>
    </row>
    <row r="11" spans="1:32" ht="15" customHeight="1">
      <c r="A11" s="32"/>
      <c r="B11" s="32"/>
      <c r="C11" s="32"/>
      <c r="D11" s="33"/>
      <c r="E11" s="33"/>
      <c r="F11" s="33"/>
      <c r="G11" s="33"/>
      <c r="H11" s="33"/>
      <c r="I11" s="34" t="s">
        <v>75</v>
      </c>
      <c r="J11" s="35">
        <v>0.025</v>
      </c>
      <c r="K11" s="36" t="s">
        <v>66</v>
      </c>
      <c r="L11" s="37"/>
      <c r="M11" s="37"/>
      <c r="N11" s="33"/>
      <c r="O11" s="38" t="s">
        <v>62</v>
      </c>
      <c r="P11" s="39">
        <f>10*LOG10(1/SQRT(1-($J$6*J11)^2))</f>
        <v>0.0682681868313477</v>
      </c>
      <c r="Q11" s="36" t="s">
        <v>63</v>
      </c>
      <c r="R11" s="57"/>
      <c r="S11" s="38" t="s">
        <v>61</v>
      </c>
      <c r="T11" s="40">
        <f>10*LOG10(1/SQRT(1-($J$6*$J$11/$Z$9)^2))</f>
        <v>0.07611823324030983</v>
      </c>
      <c r="U11" s="249" t="s">
        <v>63</v>
      </c>
      <c r="V11" s="73"/>
      <c r="W11" s="95" t="s">
        <v>27</v>
      </c>
      <c r="X11" s="6" t="s">
        <v>28</v>
      </c>
      <c r="Y11" s="12" t="s">
        <v>34</v>
      </c>
      <c r="Z11" s="12" t="s">
        <v>29</v>
      </c>
      <c r="AA11" s="159" t="s">
        <v>78</v>
      </c>
      <c r="AB11" s="61"/>
      <c r="AC11" s="1"/>
      <c r="AD11" s="1"/>
      <c r="AE11" s="1"/>
      <c r="AF11" s="1"/>
    </row>
    <row r="12" spans="1:35" ht="15" customHeight="1">
      <c r="A12" s="123" t="s">
        <v>88</v>
      </c>
      <c r="B12" s="66" t="s">
        <v>57</v>
      </c>
      <c r="C12" s="66" t="s">
        <v>36</v>
      </c>
      <c r="D12" s="72" t="s">
        <v>80</v>
      </c>
      <c r="E12" s="72" t="s">
        <v>81</v>
      </c>
      <c r="F12" s="73" t="s">
        <v>82</v>
      </c>
      <c r="G12" s="73" t="s">
        <v>83</v>
      </c>
      <c r="H12" s="64" t="s">
        <v>37</v>
      </c>
      <c r="I12" s="65" t="s">
        <v>38</v>
      </c>
      <c r="J12" s="66" t="s">
        <v>39</v>
      </c>
      <c r="K12" s="67" t="s">
        <v>40</v>
      </c>
      <c r="L12" s="65" t="s">
        <v>41</v>
      </c>
      <c r="M12" s="65" t="s">
        <v>42</v>
      </c>
      <c r="N12" s="65" t="s">
        <v>43</v>
      </c>
      <c r="O12" s="68" t="s">
        <v>79</v>
      </c>
      <c r="P12" s="65" t="s">
        <v>44</v>
      </c>
      <c r="Q12" s="65" t="s">
        <v>45</v>
      </c>
      <c r="R12" s="69" t="s">
        <v>46</v>
      </c>
      <c r="S12" s="70" t="s">
        <v>48</v>
      </c>
      <c r="T12" s="68" t="s">
        <v>49</v>
      </c>
      <c r="U12" s="67" t="s">
        <v>50</v>
      </c>
      <c r="V12" s="71" t="s">
        <v>33</v>
      </c>
      <c r="W12" s="243" t="s">
        <v>32</v>
      </c>
      <c r="X12" s="6" t="s">
        <v>33</v>
      </c>
      <c r="Y12" s="10" t="s">
        <v>89</v>
      </c>
      <c r="Z12" s="6" t="s">
        <v>35</v>
      </c>
      <c r="AA12" s="159" t="s">
        <v>65</v>
      </c>
      <c r="AB12" s="66" t="s">
        <v>47</v>
      </c>
      <c r="AC12" s="165" t="s">
        <v>136</v>
      </c>
      <c r="AD12" s="1"/>
      <c r="AE12" s="153" t="s">
        <v>113</v>
      </c>
      <c r="AF12" s="182" t="s">
        <v>130</v>
      </c>
      <c r="AG12" s="189" t="s">
        <v>131</v>
      </c>
      <c r="AH12" s="166" t="s">
        <v>132</v>
      </c>
      <c r="AI12" s="166" t="s">
        <v>133</v>
      </c>
    </row>
    <row r="13" spans="1:35" s="33" customFormat="1" ht="15" customHeight="1">
      <c r="A13" s="124" t="s">
        <v>87</v>
      </c>
      <c r="B13" s="42" t="s">
        <v>58</v>
      </c>
      <c r="C13" s="42" t="s">
        <v>58</v>
      </c>
      <c r="D13" s="43" t="s">
        <v>84</v>
      </c>
      <c r="E13" s="43" t="s">
        <v>84</v>
      </c>
      <c r="F13" s="32" t="s">
        <v>109</v>
      </c>
      <c r="G13" s="32" t="s">
        <v>109</v>
      </c>
      <c r="H13" s="44" t="s">
        <v>30</v>
      </c>
      <c r="I13" s="45" t="s">
        <v>30</v>
      </c>
      <c r="J13" s="32"/>
      <c r="K13" s="46"/>
      <c r="L13" s="45" t="s">
        <v>30</v>
      </c>
      <c r="M13" s="45"/>
      <c r="N13" s="45" t="s">
        <v>30</v>
      </c>
      <c r="O13" s="45" t="s">
        <v>30</v>
      </c>
      <c r="P13" s="45" t="s">
        <v>30</v>
      </c>
      <c r="Q13" s="45" t="s">
        <v>30</v>
      </c>
      <c r="R13" s="58" t="s">
        <v>30</v>
      </c>
      <c r="S13" s="46" t="s">
        <v>30</v>
      </c>
      <c r="T13" s="47" t="s">
        <v>30</v>
      </c>
      <c r="U13" s="47" t="s">
        <v>31</v>
      </c>
      <c r="V13" s="48" t="s">
        <v>30</v>
      </c>
      <c r="W13" s="96" t="s">
        <v>51</v>
      </c>
      <c r="X13" s="42" t="s">
        <v>52</v>
      </c>
      <c r="Y13" s="42" t="s">
        <v>30</v>
      </c>
      <c r="Z13" s="42" t="s">
        <v>53</v>
      </c>
      <c r="AA13" s="160" t="s">
        <v>64</v>
      </c>
      <c r="AB13" s="42" t="s">
        <v>30</v>
      </c>
      <c r="AC13" s="139" t="s">
        <v>135</v>
      </c>
      <c r="AD13" s="140" t="s">
        <v>106</v>
      </c>
      <c r="AE13" s="140" t="s">
        <v>134</v>
      </c>
      <c r="AF13" s="183" t="s">
        <v>64</v>
      </c>
      <c r="AG13" s="190" t="s">
        <v>64</v>
      </c>
      <c r="AH13" s="190" t="s">
        <v>64</v>
      </c>
      <c r="AI13" s="190" t="s">
        <v>64</v>
      </c>
    </row>
    <row r="14" spans="1:35" s="117" customFormat="1" ht="15" customHeight="1">
      <c r="A14" s="125">
        <v>0.002</v>
      </c>
      <c r="B14" s="110">
        <f aca="true" t="shared" si="0" ref="B14:B35">0.25*$E$4*$B$4*(1-($E$5/$B$4)^4)</f>
        <v>-3.289220321570565</v>
      </c>
      <c r="C14" s="132">
        <f aca="true" t="shared" si="1" ref="C14:C35">0.7*$E$4*$B$5</f>
        <v>0.026039999999999997</v>
      </c>
      <c r="D14" s="111">
        <f aca="true" t="shared" si="2" ref="D14:D35">(0.187/(A14*$B$5))*(10^6/SQRT(B14^2+C14^2))</f>
        <v>71063246.70389144</v>
      </c>
      <c r="E14" s="111">
        <f aca="true" t="shared" si="3" ref="E14:E35">$E$3/A14</f>
        <v>500000000</v>
      </c>
      <c r="F14" s="147">
        <f>SQRT(($J$5/D14)^2+($J$5/E14)^2+$P$4^2)</f>
        <v>60.72000000000038</v>
      </c>
      <c r="G14" s="147">
        <f aca="true" t="shared" si="4" ref="G14:G35">SQRT(F14^2+$T$9^2)</f>
        <v>74.166980829363</v>
      </c>
      <c r="H14" s="112">
        <f aca="true" t="shared" si="5" ref="H14:H35">-10*LOG10(2*AG14-1)</f>
        <v>1.2404474026736647</v>
      </c>
      <c r="I14" s="110">
        <f aca="true" t="shared" si="6" ref="I14:I35">A14*$P$3*((1/(0.00094*$B$4)^4)+1.05)</f>
        <v>0.0010083461181490852</v>
      </c>
      <c r="J14" s="113">
        <f aca="true" t="shared" si="7" ref="J14:J35">(10^-6)*3.14*$E$7*B14*A14*$B$5</f>
        <v>-8.52072524302855E-05</v>
      </c>
      <c r="K14" s="110">
        <f aca="true" t="shared" si="8" ref="K14:K35">($B$9/SQRT(2))*(1-EXP(-1*J14^2))</f>
        <v>0</v>
      </c>
      <c r="L14" s="110">
        <f aca="true" t="shared" si="9" ref="L14:L35">10*LOG10(1/SQRT(1-($J$6*K14)^2))</f>
        <v>0</v>
      </c>
      <c r="M14" s="110"/>
      <c r="N14" s="110"/>
      <c r="O14" s="110">
        <f aca="true" t="shared" si="10" ref="O14:O35">10*LOG10(1/SQRT(1-($J$6*$J$6*((($J$11/AA14)^2)+M14+(K14*K14)))))-$T$11-L14-N14</f>
        <v>0.0715369894591679</v>
      </c>
      <c r="P14" s="110">
        <f aca="true" t="shared" si="11" ref="P14:P35">Y14-Z14</f>
        <v>0</v>
      </c>
      <c r="Q14" s="110">
        <f aca="true" t="shared" si="12" ref="Q14:Q35">$B$10</f>
        <v>0</v>
      </c>
      <c r="R14" s="212">
        <f aca="true" t="shared" si="13" ref="R14:R35">-10*LOG10(AA14)-H14</f>
        <v>0.3953402020771537</v>
      </c>
      <c r="S14" s="157">
        <f aca="true" t="shared" si="14" ref="S14:S35">H14+I14+L14+N14+O14+P14+Q14+R14</f>
        <v>1.7083329403281355</v>
      </c>
      <c r="T14" s="110">
        <f aca="true" t="shared" si="15" ref="T14:T35">$E$10+I14</f>
        <v>2.001008346118149</v>
      </c>
      <c r="U14" s="110">
        <f aca="true" t="shared" si="16" ref="U14:U35">S14-I14</f>
        <v>1.7073245942099864</v>
      </c>
      <c r="V14" s="115">
        <f aca="true" t="shared" si="17" ref="V14:V35">$T$6-S14</f>
        <v>6.291667059671864</v>
      </c>
      <c r="W14" s="116">
        <f aca="true" t="shared" si="18" ref="W14:W35">$J$9-T14-R14-P14</f>
        <v>-6.396348548195302</v>
      </c>
      <c r="X14" s="114"/>
      <c r="Y14" s="110">
        <f aca="true" t="shared" si="19" ref="Y14:Y35">10*LOG10((1+10^(-($B$6/10)))/(1-10^(-($B$6/10))))</f>
        <v>2.2295037120051053</v>
      </c>
      <c r="Z14" s="110">
        <f aca="true" t="shared" si="20" ref="Z14:Z35">10*LOG10((1+10^(-($J$10/10)))/(1-10^(-($J$10/10))))</f>
        <v>2.2295037120051053</v>
      </c>
      <c r="AA14" s="184">
        <f>ERF(AH14)+ERF(AI14)-1</f>
        <v>0.6861534313528734</v>
      </c>
      <c r="AB14" s="114">
        <f aca="true" t="shared" si="21" ref="AB14:AB35">$E$9-$E$10</f>
        <v>8</v>
      </c>
      <c r="AC14" s="141"/>
      <c r="AD14" s="142"/>
      <c r="AE14" s="113"/>
      <c r="AF14" s="187">
        <f aca="true" t="shared" si="22" ref="AF14:AF35">$Z$8*$P$2/(SQRT(8)*G14)</f>
        <v>1.087013965691938</v>
      </c>
      <c r="AG14" s="191">
        <f>IF(ABS(AF14)&lt;10,SIGN(AF14)*ERF(ABS(AF14)),SIGN(AF14))</f>
        <v>0.8757727335571037</v>
      </c>
      <c r="AH14" s="197">
        <f aca="true" t="shared" si="23" ref="AH14:AH35">MAX(MIN($Z$8*$P$2*($P$9+1)/(SQRT(8)*G14),10),-10)</f>
        <v>1.383203057161131</v>
      </c>
      <c r="AI14" s="198">
        <f aca="true" t="shared" si="24" ref="AI14:AI35">MAX(MIN($Z$8*$P$2*(1-$P$9)/(SQRT(8)*G14),10),-10)</f>
        <v>0.7908248742227451</v>
      </c>
    </row>
    <row r="15" spans="1:35" s="20" customFormat="1" ht="15" customHeight="1">
      <c r="A15" s="126">
        <f>$J$3</f>
        <v>7.5</v>
      </c>
      <c r="B15" s="97">
        <f t="shared" si="0"/>
        <v>-3.289220321570565</v>
      </c>
      <c r="C15" s="134">
        <f t="shared" si="1"/>
        <v>0.026039999999999997</v>
      </c>
      <c r="D15" s="149">
        <f t="shared" si="2"/>
        <v>18950.199121037716</v>
      </c>
      <c r="E15" s="149">
        <f t="shared" si="3"/>
        <v>133333.33333333334</v>
      </c>
      <c r="F15" s="107">
        <f aca="true" t="shared" si="25" ref="F15:F35">SQRT((1000*$J$5/D15)^2+(1000*$J$5/E15)^2+$P$4^2)</f>
        <v>65.88979025645055</v>
      </c>
      <c r="G15" s="174">
        <f t="shared" si="4"/>
        <v>78.45563781769988</v>
      </c>
      <c r="H15" s="100">
        <f t="shared" si="5"/>
        <v>1.5016051360543023</v>
      </c>
      <c r="I15" s="97">
        <f t="shared" si="6"/>
        <v>3.78129794305907</v>
      </c>
      <c r="J15" s="97">
        <f t="shared" si="7"/>
        <v>-0.3195271966135706</v>
      </c>
      <c r="K15" s="97">
        <f t="shared" si="8"/>
        <v>0</v>
      </c>
      <c r="L15" s="97">
        <f t="shared" si="9"/>
        <v>0</v>
      </c>
      <c r="M15" s="97">
        <f aca="true" t="shared" si="26" ref="M15:M35">$P$5*10^9*($J$5/G15)*10^($B$8/10)</f>
        <v>0.00042826750166856354</v>
      </c>
      <c r="N15" s="97">
        <f aca="true" t="shared" si="27" ref="N15:N35">10*LOG10(1/SQRT(1-($J$6^2)*M15))</f>
        <v>0.04654691630618432</v>
      </c>
      <c r="O15" s="97">
        <f t="shared" si="10"/>
        <v>0.09543521062772631</v>
      </c>
      <c r="P15" s="97">
        <f t="shared" si="11"/>
        <v>0</v>
      </c>
      <c r="Q15" s="97">
        <f t="shared" si="12"/>
        <v>0</v>
      </c>
      <c r="R15" s="203">
        <f t="shared" si="13"/>
        <v>0.4015859452152861</v>
      </c>
      <c r="S15" s="98">
        <f t="shared" si="14"/>
        <v>5.826471151262568</v>
      </c>
      <c r="T15" s="97">
        <f t="shared" si="15"/>
        <v>5.781297943059069</v>
      </c>
      <c r="U15" s="97">
        <f t="shared" si="16"/>
        <v>2.0451732082034986</v>
      </c>
      <c r="V15" s="102">
        <f t="shared" si="17"/>
        <v>2.1735288487374316</v>
      </c>
      <c r="W15" s="103">
        <f t="shared" si="18"/>
        <v>-10.182883888274356</v>
      </c>
      <c r="X15" s="19"/>
      <c r="Y15" s="18">
        <f t="shared" si="19"/>
        <v>2.2295037120051053</v>
      </c>
      <c r="Z15" s="18">
        <f t="shared" si="20"/>
        <v>2.2295037120051053</v>
      </c>
      <c r="AA15" s="215">
        <f>ERF(AH15)+ERF(AI15)-1</f>
        <v>0.6451799935911624</v>
      </c>
      <c r="AB15" s="101">
        <f t="shared" si="21"/>
        <v>8</v>
      </c>
      <c r="AC15" s="192">
        <f aca="true" t="shared" si="28" ref="AC15:AC35">$J$2</f>
        <v>10</v>
      </c>
      <c r="AD15" s="194">
        <v>0</v>
      </c>
      <c r="AE15" s="207">
        <f aca="true" t="shared" si="29" ref="AE15:AE35">IF(A15=$J$2,V15,0)</f>
        <v>0</v>
      </c>
      <c r="AF15" s="161">
        <f t="shared" si="22"/>
        <v>1.027594016150303</v>
      </c>
      <c r="AG15" s="185">
        <f>IF(ABS(AF15)&lt;10,SIGN(AF15)*ERF(ABS(AF15)),SIGN(AF15))</f>
        <v>0.8538420893174061</v>
      </c>
      <c r="AH15" s="200">
        <f t="shared" si="23"/>
        <v>1.3075923856735463</v>
      </c>
      <c r="AI15" s="201">
        <f t="shared" si="24"/>
        <v>0.7475956466270596</v>
      </c>
    </row>
    <row r="16" spans="1:35" s="26" customFormat="1" ht="15" customHeight="1">
      <c r="A16" s="127">
        <f aca="true" t="shared" si="30" ref="A16:A35">A15+$J$4</f>
        <v>7.75</v>
      </c>
      <c r="B16" s="49">
        <f t="shared" si="0"/>
        <v>-3.289220321570565</v>
      </c>
      <c r="C16" s="135">
        <f t="shared" si="1"/>
        <v>0.026039999999999997</v>
      </c>
      <c r="D16" s="150">
        <f t="shared" si="2"/>
        <v>18338.90237519779</v>
      </c>
      <c r="E16" s="150">
        <f t="shared" si="3"/>
        <v>129032.25806451614</v>
      </c>
      <c r="F16" s="108">
        <f t="shared" si="25"/>
        <v>66.2255852178121</v>
      </c>
      <c r="G16" s="108">
        <f t="shared" si="4"/>
        <v>78.73786117735702</v>
      </c>
      <c r="H16" s="50">
        <f t="shared" si="5"/>
        <v>1.5194537225082425</v>
      </c>
      <c r="I16" s="49">
        <f t="shared" si="6"/>
        <v>3.907341207827705</v>
      </c>
      <c r="J16" s="49">
        <f t="shared" si="7"/>
        <v>-0.3301781031673563</v>
      </c>
      <c r="K16" s="49">
        <f t="shared" si="8"/>
        <v>0</v>
      </c>
      <c r="L16" s="49">
        <f t="shared" si="9"/>
        <v>0</v>
      </c>
      <c r="M16" s="49">
        <f t="shared" si="26"/>
        <v>0.0004267324448185862</v>
      </c>
      <c r="N16" s="49">
        <f t="shared" si="27"/>
        <v>0.046378281817027536</v>
      </c>
      <c r="O16" s="49">
        <f t="shared" si="10"/>
        <v>0.09692253349256248</v>
      </c>
      <c r="P16" s="49">
        <f t="shared" si="11"/>
        <v>0</v>
      </c>
      <c r="Q16" s="49">
        <f t="shared" si="12"/>
        <v>0</v>
      </c>
      <c r="R16" s="206">
        <f t="shared" si="13"/>
        <v>0.4019171151629053</v>
      </c>
      <c r="S16" s="53">
        <f t="shared" si="14"/>
        <v>5.972012860808443</v>
      </c>
      <c r="T16" s="49">
        <f t="shared" si="15"/>
        <v>5.907341207827705</v>
      </c>
      <c r="U16" s="49">
        <f t="shared" si="16"/>
        <v>2.0646716529807376</v>
      </c>
      <c r="V16" s="54">
        <f t="shared" si="17"/>
        <v>2.0279871391915574</v>
      </c>
      <c r="W16" s="99">
        <f t="shared" si="18"/>
        <v>-10.309258322990612</v>
      </c>
      <c r="X16" s="25">
        <f aca="true" t="shared" si="31" ref="X16:X34">(V17-V15)/2</f>
        <v>-0.1458730743626111</v>
      </c>
      <c r="Y16" s="23">
        <f t="shared" si="19"/>
        <v>2.2295037120051053</v>
      </c>
      <c r="Z16" s="23">
        <f t="shared" si="20"/>
        <v>2.2295037120051053</v>
      </c>
      <c r="AA16" s="214">
        <f>ERF(AH16)+ERF(AI16)-1</f>
        <v>0.6424848868553732</v>
      </c>
      <c r="AB16" s="52">
        <f t="shared" si="21"/>
        <v>8</v>
      </c>
      <c r="AC16" s="143">
        <f t="shared" si="28"/>
        <v>10</v>
      </c>
      <c r="AD16" s="144">
        <f aca="true" t="shared" si="32" ref="AD16:AD34">AD17</f>
        <v>9.9</v>
      </c>
      <c r="AE16" s="208">
        <f t="shared" si="29"/>
        <v>0</v>
      </c>
      <c r="AF16" s="162">
        <f t="shared" si="22"/>
        <v>1.0239107685834399</v>
      </c>
      <c r="AG16" s="186">
        <f>IF(ABS(AF16)&lt;10,SIGN(AF16)*ERF(ABS(AF16)),SIGN(AF16))</f>
        <v>0.8523908571943386</v>
      </c>
      <c r="AH16" s="202">
        <f t="shared" si="23"/>
        <v>1.3029055284154398</v>
      </c>
      <c r="AI16" s="202">
        <f t="shared" si="24"/>
        <v>0.7449160087514398</v>
      </c>
    </row>
    <row r="17" spans="1:35" s="26" customFormat="1" ht="15" customHeight="1">
      <c r="A17" s="127">
        <f t="shared" si="30"/>
        <v>8</v>
      </c>
      <c r="B17" s="49">
        <f t="shared" si="0"/>
        <v>-3.289220321570565</v>
      </c>
      <c r="C17" s="135">
        <f t="shared" si="1"/>
        <v>0.026039999999999997</v>
      </c>
      <c r="D17" s="150">
        <f t="shared" si="2"/>
        <v>17765.81167597286</v>
      </c>
      <c r="E17" s="150">
        <f t="shared" si="3"/>
        <v>125000</v>
      </c>
      <c r="F17" s="108">
        <f t="shared" si="25"/>
        <v>66.57061184670324</v>
      </c>
      <c r="G17" s="108">
        <f t="shared" si="4"/>
        <v>79.02827979266333</v>
      </c>
      <c r="H17" s="50">
        <f t="shared" si="5"/>
        <v>1.5379040023843138</v>
      </c>
      <c r="I17" s="49">
        <f t="shared" si="6"/>
        <v>4.033384472596341</v>
      </c>
      <c r="J17" s="49">
        <f t="shared" si="7"/>
        <v>-0.34082900972114194</v>
      </c>
      <c r="K17" s="49">
        <f t="shared" si="8"/>
        <v>0</v>
      </c>
      <c r="L17" s="49">
        <f t="shared" si="9"/>
        <v>0</v>
      </c>
      <c r="M17" s="49">
        <f t="shared" si="26"/>
        <v>0.00042516425877106454</v>
      </c>
      <c r="N17" s="49">
        <f t="shared" si="27"/>
        <v>0.04620602142413222</v>
      </c>
      <c r="O17" s="49">
        <f t="shared" si="10"/>
        <v>0.09847343189354288</v>
      </c>
      <c r="P17" s="49">
        <f t="shared" si="11"/>
        <v>0</v>
      </c>
      <c r="Q17" s="49">
        <f t="shared" si="12"/>
        <v>0</v>
      </c>
      <c r="R17" s="206">
        <f t="shared" si="13"/>
        <v>0.40224937168946084</v>
      </c>
      <c r="S17" s="53">
        <f t="shared" si="14"/>
        <v>6.118217299987791</v>
      </c>
      <c r="T17" s="49">
        <f t="shared" si="15"/>
        <v>6.033384472596341</v>
      </c>
      <c r="U17" s="49">
        <f t="shared" si="16"/>
        <v>2.08483282739145</v>
      </c>
      <c r="V17" s="54">
        <f t="shared" si="17"/>
        <v>1.8817827000122094</v>
      </c>
      <c r="W17" s="99">
        <f t="shared" si="18"/>
        <v>-10.435633844285801</v>
      </c>
      <c r="X17" s="25">
        <f t="shared" si="31"/>
        <v>-0.14653694987307686</v>
      </c>
      <c r="Y17" s="23">
        <f t="shared" si="19"/>
        <v>2.2295037120051053</v>
      </c>
      <c r="Z17" s="23">
        <f t="shared" si="20"/>
        <v>2.2295037120051053</v>
      </c>
      <c r="AA17" s="214">
        <f>ERF(AH17)+ERF(AI17)-1</f>
        <v>0.6397122432072688</v>
      </c>
      <c r="AB17" s="52">
        <f t="shared" si="21"/>
        <v>8</v>
      </c>
      <c r="AC17" s="143">
        <f t="shared" si="28"/>
        <v>10</v>
      </c>
      <c r="AD17" s="144">
        <f t="shared" si="32"/>
        <v>9.9</v>
      </c>
      <c r="AE17" s="208">
        <f t="shared" si="29"/>
        <v>0</v>
      </c>
      <c r="AF17" s="162">
        <f t="shared" si="22"/>
        <v>1.0201480301258983</v>
      </c>
      <c r="AG17" s="186">
        <f>IF(ABS(AF17)&lt;10,SIGN(AF17)*ERF(ABS(AF17)),SIGN(AF17))</f>
        <v>0.8508969586921462</v>
      </c>
      <c r="AH17" s="202">
        <f t="shared" si="23"/>
        <v>1.2981175206234181</v>
      </c>
      <c r="AI17" s="202">
        <f t="shared" si="24"/>
        <v>0.7421785396283782</v>
      </c>
    </row>
    <row r="18" spans="1:35" s="26" customFormat="1" ht="15" customHeight="1">
      <c r="A18" s="127">
        <f t="shared" si="30"/>
        <v>8.25</v>
      </c>
      <c r="B18" s="49">
        <f t="shared" si="0"/>
        <v>-3.289220321570565</v>
      </c>
      <c r="C18" s="135">
        <f t="shared" si="1"/>
        <v>0.026039999999999997</v>
      </c>
      <c r="D18" s="150">
        <f t="shared" si="2"/>
        <v>17227.453746397925</v>
      </c>
      <c r="E18" s="150">
        <f t="shared" si="3"/>
        <v>121212.12121212122</v>
      </c>
      <c r="F18" s="108">
        <f t="shared" si="25"/>
        <v>66.92472736326421</v>
      </c>
      <c r="G18" s="108">
        <f t="shared" si="4"/>
        <v>79.32680365418928</v>
      </c>
      <c r="H18" s="50">
        <f t="shared" si="5"/>
        <v>1.556957043629312</v>
      </c>
      <c r="I18" s="49">
        <f t="shared" si="6"/>
        <v>4.159427737364977</v>
      </c>
      <c r="J18" s="49">
        <f t="shared" si="7"/>
        <v>-0.35147991627492764</v>
      </c>
      <c r="K18" s="49">
        <f t="shared" si="8"/>
        <v>0</v>
      </c>
      <c r="L18" s="49">
        <f t="shared" si="9"/>
        <v>0</v>
      </c>
      <c r="M18" s="49">
        <f t="shared" si="26"/>
        <v>0.0004235642740185659</v>
      </c>
      <c r="N18" s="49">
        <f t="shared" si="27"/>
        <v>0.04603028212426377</v>
      </c>
      <c r="O18" s="49">
        <f t="shared" si="10"/>
        <v>0.10008949982674628</v>
      </c>
      <c r="P18" s="49">
        <f t="shared" si="11"/>
        <v>0</v>
      </c>
      <c r="Q18" s="49">
        <f t="shared" si="12"/>
        <v>0</v>
      </c>
      <c r="R18" s="206">
        <f t="shared" si="13"/>
        <v>0.40258219760929737</v>
      </c>
      <c r="S18" s="53">
        <f t="shared" si="14"/>
        <v>6.265086760554596</v>
      </c>
      <c r="T18" s="49">
        <f t="shared" si="15"/>
        <v>6.159427737364977</v>
      </c>
      <c r="U18" s="49">
        <f t="shared" si="16"/>
        <v>2.1056590231896193</v>
      </c>
      <c r="V18" s="54">
        <f t="shared" si="17"/>
        <v>1.7349132394454037</v>
      </c>
      <c r="W18" s="99">
        <f t="shared" si="18"/>
        <v>-10.562009934974274</v>
      </c>
      <c r="X18" s="25">
        <f t="shared" si="31"/>
        <v>-0.14720316165205238</v>
      </c>
      <c r="Y18" s="23">
        <f t="shared" si="19"/>
        <v>2.2295037120051053</v>
      </c>
      <c r="Z18" s="23">
        <f t="shared" si="20"/>
        <v>2.2295037120051053</v>
      </c>
      <c r="AA18" s="214">
        <f>ERF(AH18)+ERF(AI18)-1</f>
        <v>0.6368630844374259</v>
      </c>
      <c r="AB18" s="52">
        <f t="shared" si="21"/>
        <v>8</v>
      </c>
      <c r="AC18" s="143">
        <f t="shared" si="28"/>
        <v>10</v>
      </c>
      <c r="AD18" s="144">
        <f t="shared" si="32"/>
        <v>9.9</v>
      </c>
      <c r="AE18" s="208">
        <f t="shared" si="29"/>
        <v>0</v>
      </c>
      <c r="AF18" s="162">
        <f t="shared" si="22"/>
        <v>1.016308993189419</v>
      </c>
      <c r="AG18" s="186">
        <f>IF(ABS(AF18)&lt;10,SIGN(AF18)*ERF(ABS(AF18)),SIGN(AF18))</f>
        <v>0.8493609018165666</v>
      </c>
      <c r="AH18" s="202">
        <f t="shared" si="23"/>
        <v>1.2932324245761815</v>
      </c>
      <c r="AI18" s="202">
        <f t="shared" si="24"/>
        <v>0.7393855618026561</v>
      </c>
    </row>
    <row r="19" spans="1:35" s="26" customFormat="1" ht="15" customHeight="1">
      <c r="A19" s="127">
        <f t="shared" si="30"/>
        <v>8.5</v>
      </c>
      <c r="B19" s="49">
        <f t="shared" si="0"/>
        <v>-3.289220321570565</v>
      </c>
      <c r="C19" s="135">
        <f t="shared" si="1"/>
        <v>0.026039999999999997</v>
      </c>
      <c r="D19" s="150">
        <f t="shared" si="2"/>
        <v>16720.763930327397</v>
      </c>
      <c r="E19" s="150">
        <f t="shared" si="3"/>
        <v>117647.05882352941</v>
      </c>
      <c r="F19" s="108">
        <f t="shared" si="25"/>
        <v>67.28778827135093</v>
      </c>
      <c r="G19" s="108">
        <f t="shared" si="4"/>
        <v>79.63334160885881</v>
      </c>
      <c r="H19" s="50">
        <f t="shared" si="5"/>
        <v>1.5766135364013065</v>
      </c>
      <c r="I19" s="49">
        <f t="shared" si="6"/>
        <v>4.285471002133612</v>
      </c>
      <c r="J19" s="49">
        <f t="shared" si="7"/>
        <v>-0.36213082282871334</v>
      </c>
      <c r="K19" s="49">
        <f t="shared" si="8"/>
        <v>0</v>
      </c>
      <c r="L19" s="49">
        <f t="shared" si="9"/>
        <v>0</v>
      </c>
      <c r="M19" s="49">
        <f t="shared" si="26"/>
        <v>0.0004219338196937119</v>
      </c>
      <c r="N19" s="49">
        <f t="shared" si="27"/>
        <v>0.04585121073458802</v>
      </c>
      <c r="O19" s="49">
        <f t="shared" si="10"/>
        <v>0.10177241015641868</v>
      </c>
      <c r="P19" s="49">
        <f t="shared" si="11"/>
        <v>0</v>
      </c>
      <c r="Q19" s="49">
        <f t="shared" si="12"/>
        <v>0</v>
      </c>
      <c r="R19" s="206">
        <f t="shared" si="13"/>
        <v>0.40291546386597066</v>
      </c>
      <c r="S19" s="53">
        <f t="shared" si="14"/>
        <v>6.412623623291895</v>
      </c>
      <c r="T19" s="49">
        <f t="shared" si="15"/>
        <v>6.285471002133612</v>
      </c>
      <c r="U19" s="49">
        <f t="shared" si="16"/>
        <v>2.1271526211582836</v>
      </c>
      <c r="V19" s="54">
        <f t="shared" si="17"/>
        <v>1.5873763767081046</v>
      </c>
      <c r="W19" s="99">
        <f t="shared" si="18"/>
        <v>-10.688386465999582</v>
      </c>
      <c r="X19" s="25">
        <f t="shared" si="31"/>
        <v>-0.14787150608364463</v>
      </c>
      <c r="Y19" s="23">
        <f t="shared" si="19"/>
        <v>2.2295037120051053</v>
      </c>
      <c r="Z19" s="23">
        <f t="shared" si="20"/>
        <v>2.2295037120051053</v>
      </c>
      <c r="AA19" s="214">
        <f>ERF(AH19)+ERF(AI19)-1</f>
        <v>0.6339384592302193</v>
      </c>
      <c r="AB19" s="52">
        <f t="shared" si="21"/>
        <v>8</v>
      </c>
      <c r="AC19" s="143">
        <f t="shared" si="28"/>
        <v>10</v>
      </c>
      <c r="AD19" s="144">
        <f t="shared" si="32"/>
        <v>9.9</v>
      </c>
      <c r="AE19" s="208">
        <f t="shared" si="29"/>
        <v>0</v>
      </c>
      <c r="AF19" s="162">
        <f t="shared" si="22"/>
        <v>1.0123968469226612</v>
      </c>
      <c r="AG19" s="186">
        <f>IF(ABS(AF19)&lt;10,SIGN(AF19)*ERF(ABS(AF19)),SIGN(AF19))</f>
        <v>0.8477832412674043</v>
      </c>
      <c r="AH19" s="202">
        <f t="shared" si="23"/>
        <v>1.2882542984002254</v>
      </c>
      <c r="AI19" s="202">
        <f t="shared" si="24"/>
        <v>0.7365393954450967</v>
      </c>
    </row>
    <row r="20" spans="1:35" s="20" customFormat="1" ht="15" customHeight="1">
      <c r="A20" s="126">
        <f t="shared" si="30"/>
        <v>8.75</v>
      </c>
      <c r="B20" s="97">
        <f t="shared" si="0"/>
        <v>-3.289220321570565</v>
      </c>
      <c r="C20" s="134">
        <f t="shared" si="1"/>
        <v>0.026039999999999997</v>
      </c>
      <c r="D20" s="149">
        <f t="shared" si="2"/>
        <v>16243.02781803233</v>
      </c>
      <c r="E20" s="149">
        <f t="shared" si="3"/>
        <v>114285.71428571429</v>
      </c>
      <c r="F20" s="107">
        <f t="shared" si="25"/>
        <v>67.65965056851199</v>
      </c>
      <c r="G20" s="107">
        <f t="shared" si="4"/>
        <v>79.94780147318748</v>
      </c>
      <c r="H20" s="100">
        <f t="shared" si="5"/>
        <v>1.5968751722770536</v>
      </c>
      <c r="I20" s="97">
        <f t="shared" si="6"/>
        <v>4.411514266902248</v>
      </c>
      <c r="J20" s="97">
        <f t="shared" si="7"/>
        <v>-0.37278172938249904</v>
      </c>
      <c r="K20" s="97">
        <f t="shared" si="8"/>
        <v>0</v>
      </c>
      <c r="L20" s="97">
        <f t="shared" si="9"/>
        <v>0</v>
      </c>
      <c r="M20" s="97">
        <f t="shared" si="26"/>
        <v>0.0004202742211900425</v>
      </c>
      <c r="N20" s="97">
        <f t="shared" si="27"/>
        <v>0.04566895362917</v>
      </c>
      <c r="O20" s="97">
        <f t="shared" si="10"/>
        <v>0.1035238711252926</v>
      </c>
      <c r="P20" s="97">
        <f t="shared" si="11"/>
        <v>0</v>
      </c>
      <c r="Q20" s="97">
        <f t="shared" si="12"/>
        <v>0</v>
      </c>
      <c r="R20" s="205">
        <f t="shared" si="13"/>
        <v>0.4032475087881202</v>
      </c>
      <c r="S20" s="98">
        <f t="shared" si="14"/>
        <v>6.560829772721886</v>
      </c>
      <c r="T20" s="97">
        <f t="shared" si="15"/>
        <v>6.411514266902248</v>
      </c>
      <c r="U20" s="97">
        <f t="shared" si="16"/>
        <v>2.1493155058196374</v>
      </c>
      <c r="V20" s="102">
        <f t="shared" si="17"/>
        <v>1.4391702272781144</v>
      </c>
      <c r="W20" s="103">
        <f t="shared" si="18"/>
        <v>-10.814761775690368</v>
      </c>
      <c r="X20" s="27">
        <f t="shared" si="31"/>
        <v>-0.1485426472361504</v>
      </c>
      <c r="Y20" s="18">
        <f t="shared" si="19"/>
        <v>2.2295037120051053</v>
      </c>
      <c r="Z20" s="18">
        <f t="shared" si="20"/>
        <v>2.2295037120051053</v>
      </c>
      <c r="AA20" s="216">
        <f>ERF(AH20)+ERF(AI20)-1</f>
        <v>0.6309395212222353</v>
      </c>
      <c r="AB20" s="101">
        <f t="shared" si="21"/>
        <v>8</v>
      </c>
      <c r="AC20" s="192">
        <f t="shared" si="28"/>
        <v>10</v>
      </c>
      <c r="AD20" s="193">
        <f t="shared" si="32"/>
        <v>9.9</v>
      </c>
      <c r="AE20" s="207">
        <f t="shared" si="29"/>
        <v>0</v>
      </c>
      <c r="AF20" s="161">
        <f t="shared" si="22"/>
        <v>1.008414771502653</v>
      </c>
      <c r="AG20" s="185">
        <f>IF(ABS(AF20)&lt;10,SIGN(AF20)*ERF(ABS(AF20)),SIGN(AF20))</f>
        <v>0.8461644675004933</v>
      </c>
      <c r="AH20" s="200">
        <f t="shared" si="23"/>
        <v>1.2831871888058282</v>
      </c>
      <c r="AI20" s="200">
        <f t="shared" si="24"/>
        <v>0.7336423541994777</v>
      </c>
    </row>
    <row r="21" spans="1:35" s="26" customFormat="1" ht="15" customHeight="1">
      <c r="A21" s="127">
        <f t="shared" si="30"/>
        <v>9</v>
      </c>
      <c r="B21" s="49">
        <f t="shared" si="0"/>
        <v>-3.289220321570565</v>
      </c>
      <c r="C21" s="135">
        <f t="shared" si="1"/>
        <v>0.026039999999999997</v>
      </c>
      <c r="D21" s="150">
        <f t="shared" si="2"/>
        <v>15791.832600864765</v>
      </c>
      <c r="E21" s="150">
        <f t="shared" si="3"/>
        <v>111111.11111111111</v>
      </c>
      <c r="F21" s="108">
        <f t="shared" si="25"/>
        <v>68.04016994729089</v>
      </c>
      <c r="G21" s="108">
        <f t="shared" si="4"/>
        <v>80.27009014445716</v>
      </c>
      <c r="H21" s="50">
        <f t="shared" si="5"/>
        <v>1.6177426079333173</v>
      </c>
      <c r="I21" s="49">
        <f t="shared" si="6"/>
        <v>4.537557531670884</v>
      </c>
      <c r="J21" s="49">
        <f t="shared" si="7"/>
        <v>-0.38343263593628474</v>
      </c>
      <c r="K21" s="49">
        <f t="shared" si="8"/>
        <v>0</v>
      </c>
      <c r="L21" s="49">
        <f t="shared" si="9"/>
        <v>0</v>
      </c>
      <c r="M21" s="49">
        <f t="shared" si="26"/>
        <v>0.00041858679789112164</v>
      </c>
      <c r="N21" s="49">
        <f t="shared" si="27"/>
        <v>0.0454836564875996</v>
      </c>
      <c r="O21" s="49">
        <f t="shared" si="10"/>
        <v>0.10534581328711222</v>
      </c>
      <c r="P21" s="49">
        <f t="shared" si="11"/>
        <v>0</v>
      </c>
      <c r="Q21" s="49">
        <f t="shared" si="12"/>
        <v>0</v>
      </c>
      <c r="R21" s="206">
        <f t="shared" si="13"/>
        <v>0.40357930838528366</v>
      </c>
      <c r="S21" s="53">
        <f t="shared" si="14"/>
        <v>6.709708917764196</v>
      </c>
      <c r="T21" s="49">
        <f t="shared" si="15"/>
        <v>6.537557531670884</v>
      </c>
      <c r="U21" s="49">
        <f t="shared" si="16"/>
        <v>2.1721513860933124</v>
      </c>
      <c r="V21" s="54">
        <f t="shared" si="17"/>
        <v>1.2902910822358038</v>
      </c>
      <c r="W21" s="99">
        <f t="shared" si="18"/>
        <v>-10.941136840056169</v>
      </c>
      <c r="X21" s="25">
        <f t="shared" si="31"/>
        <v>-0.14921670365869577</v>
      </c>
      <c r="Y21" s="23">
        <f t="shared" si="19"/>
        <v>2.2295037120051053</v>
      </c>
      <c r="Z21" s="23">
        <f t="shared" si="20"/>
        <v>2.2295037120051053</v>
      </c>
      <c r="AA21" s="214">
        <f>ERF(AH21)+ERF(AI21)-1</f>
        <v>0.6278672179433293</v>
      </c>
      <c r="AB21" s="52">
        <f t="shared" si="21"/>
        <v>8</v>
      </c>
      <c r="AC21" s="143">
        <f t="shared" si="28"/>
        <v>10</v>
      </c>
      <c r="AD21" s="144">
        <f t="shared" si="32"/>
        <v>9.9</v>
      </c>
      <c r="AE21" s="208">
        <f t="shared" si="29"/>
        <v>0</v>
      </c>
      <c r="AF21" s="162">
        <f t="shared" si="22"/>
        <v>1.0043659326859602</v>
      </c>
      <c r="AG21" s="186">
        <f>IF(ABS(AF21)&lt;10,SIGN(AF21)*ERF(ABS(AF21)),SIGN(AF21))</f>
        <v>0.8445051698247624</v>
      </c>
      <c r="AH21" s="202">
        <f t="shared" si="23"/>
        <v>1.2780351241535242</v>
      </c>
      <c r="AI21" s="202">
        <f t="shared" si="24"/>
        <v>0.730696741218396</v>
      </c>
    </row>
    <row r="22" spans="1:35" s="26" customFormat="1" ht="15" customHeight="1">
      <c r="A22" s="127">
        <f t="shared" si="30"/>
        <v>9.25</v>
      </c>
      <c r="B22" s="49">
        <f t="shared" si="0"/>
        <v>-3.289220321570565</v>
      </c>
      <c r="C22" s="135">
        <f t="shared" si="1"/>
        <v>0.026039999999999997</v>
      </c>
      <c r="D22" s="150">
        <f t="shared" si="2"/>
        <v>15365.026314354905</v>
      </c>
      <c r="E22" s="150">
        <f t="shared" si="3"/>
        <v>108108.1081081081</v>
      </c>
      <c r="F22" s="108">
        <f t="shared" si="25"/>
        <v>68.42920198759732</v>
      </c>
      <c r="G22" s="108">
        <f t="shared" si="4"/>
        <v>80.60011370961239</v>
      </c>
      <c r="H22" s="50">
        <f t="shared" si="5"/>
        <v>1.639216799204747</v>
      </c>
      <c r="I22" s="49">
        <f t="shared" si="6"/>
        <v>4.663600796439519</v>
      </c>
      <c r="J22" s="49">
        <f t="shared" si="7"/>
        <v>-0.3940835424900704</v>
      </c>
      <c r="K22" s="49">
        <f t="shared" si="8"/>
        <v>0</v>
      </c>
      <c r="L22" s="49">
        <f t="shared" si="9"/>
        <v>0</v>
      </c>
      <c r="M22" s="49">
        <f t="shared" si="26"/>
        <v>0.00041687286101176876</v>
      </c>
      <c r="N22" s="49">
        <f t="shared" si="27"/>
        <v>0.04529546405616526</v>
      </c>
      <c r="O22" s="49">
        <f t="shared" si="10"/>
        <v>0.10724012334723228</v>
      </c>
      <c r="P22" s="49">
        <f t="shared" si="11"/>
        <v>0</v>
      </c>
      <c r="Q22" s="49">
        <f t="shared" si="12"/>
        <v>0</v>
      </c>
      <c r="R22" s="206">
        <f t="shared" si="13"/>
        <v>0.40390999699161334</v>
      </c>
      <c r="S22" s="53">
        <f t="shared" si="14"/>
        <v>6.859263180039277</v>
      </c>
      <c r="T22" s="49">
        <f t="shared" si="15"/>
        <v>6.663600796439519</v>
      </c>
      <c r="U22" s="49">
        <f t="shared" si="16"/>
        <v>2.1956623835997577</v>
      </c>
      <c r="V22" s="54">
        <f t="shared" si="17"/>
        <v>1.1407368199607228</v>
      </c>
      <c r="W22" s="99">
        <f t="shared" si="18"/>
        <v>-11.067510793431133</v>
      </c>
      <c r="X22" s="25">
        <f t="shared" si="31"/>
        <v>-0.14989321139530887</v>
      </c>
      <c r="Y22" s="23">
        <f t="shared" si="19"/>
        <v>2.2295037120051053</v>
      </c>
      <c r="Z22" s="23">
        <f t="shared" si="20"/>
        <v>2.2295037120051053</v>
      </c>
      <c r="AA22" s="214">
        <f>ERF(AH22)+ERF(AI22)-1</f>
        <v>0.6247227482904338</v>
      </c>
      <c r="AB22" s="52">
        <f t="shared" si="21"/>
        <v>8</v>
      </c>
      <c r="AC22" s="143">
        <f t="shared" si="28"/>
        <v>10</v>
      </c>
      <c r="AD22" s="144">
        <f t="shared" si="32"/>
        <v>9.9</v>
      </c>
      <c r="AE22" s="208">
        <f t="shared" si="29"/>
        <v>0</v>
      </c>
      <c r="AF22" s="162">
        <f t="shared" si="22"/>
        <v>1.000253476628892</v>
      </c>
      <c r="AG22" s="186">
        <f>IF(ABS(AF22)&lt;10,SIGN(AF22)*ERF(ABS(AF22)),SIGN(AF22))</f>
        <v>0.8428059288098837</v>
      </c>
      <c r="AH22" s="202">
        <f t="shared" si="23"/>
        <v>1.2728021078629226</v>
      </c>
      <c r="AI22" s="202">
        <f t="shared" si="24"/>
        <v>0.7277048453948615</v>
      </c>
    </row>
    <row r="23" spans="1:35" s="26" customFormat="1" ht="15" customHeight="1">
      <c r="A23" s="127">
        <f t="shared" si="30"/>
        <v>9.5</v>
      </c>
      <c r="B23" s="49">
        <f t="shared" si="0"/>
        <v>-3.289220321570565</v>
      </c>
      <c r="C23" s="135">
        <f t="shared" si="1"/>
        <v>0.026039999999999997</v>
      </c>
      <c r="D23" s="150">
        <f t="shared" si="2"/>
        <v>14960.683516608722</v>
      </c>
      <c r="E23" s="150">
        <f t="shared" si="3"/>
        <v>105263.15789473684</v>
      </c>
      <c r="F23" s="108">
        <f t="shared" si="25"/>
        <v>68.82660233995753</v>
      </c>
      <c r="G23" s="108">
        <f t="shared" si="4"/>
        <v>80.93777755168287</v>
      </c>
      <c r="H23" s="50">
        <f t="shared" si="5"/>
        <v>1.6612986726354515</v>
      </c>
      <c r="I23" s="49">
        <f t="shared" si="6"/>
        <v>4.789644061208155</v>
      </c>
      <c r="J23" s="49">
        <f t="shared" si="7"/>
        <v>-0.4047344490438561</v>
      </c>
      <c r="K23" s="49">
        <f t="shared" si="8"/>
        <v>0</v>
      </c>
      <c r="L23" s="49">
        <f t="shared" si="9"/>
        <v>0</v>
      </c>
      <c r="M23" s="49">
        <f t="shared" si="26"/>
        <v>0.0004151337115544679</v>
      </c>
      <c r="N23" s="49">
        <f t="shared" si="27"/>
        <v>0.045104519921908934</v>
      </c>
      <c r="O23" s="49">
        <f t="shared" si="10"/>
        <v>0.10920882481077195</v>
      </c>
      <c r="P23" s="49">
        <f t="shared" si="11"/>
        <v>0</v>
      </c>
      <c r="Q23" s="49">
        <f t="shared" si="12"/>
        <v>0</v>
      </c>
      <c r="R23" s="206">
        <f t="shared" si="13"/>
        <v>0.40423926197852533</v>
      </c>
      <c r="S23" s="53">
        <f t="shared" si="14"/>
        <v>7.009495340554814</v>
      </c>
      <c r="T23" s="49">
        <f t="shared" si="15"/>
        <v>6.789644061208155</v>
      </c>
      <c r="U23" s="49">
        <f t="shared" si="16"/>
        <v>2.219851279346659</v>
      </c>
      <c r="V23" s="54">
        <f t="shared" si="17"/>
        <v>0.9905046594451861</v>
      </c>
      <c r="W23" s="99">
        <f t="shared" si="18"/>
        <v>-11.193883323186679</v>
      </c>
      <c r="X23" s="25">
        <f t="shared" si="31"/>
        <v>-0.1505725569293821</v>
      </c>
      <c r="Y23" s="23">
        <f t="shared" si="19"/>
        <v>2.2295037120051053</v>
      </c>
      <c r="Z23" s="23">
        <f t="shared" si="20"/>
        <v>2.2295037120051053</v>
      </c>
      <c r="AA23" s="214">
        <f>ERF(AH23)+ERF(AI23)-1</f>
        <v>0.6215072605954561</v>
      </c>
      <c r="AB23" s="52">
        <f t="shared" si="21"/>
        <v>8</v>
      </c>
      <c r="AC23" s="143">
        <f t="shared" si="28"/>
        <v>10</v>
      </c>
      <c r="AD23" s="144">
        <f t="shared" si="32"/>
        <v>9.9</v>
      </c>
      <c r="AE23" s="208">
        <f t="shared" si="29"/>
        <v>0</v>
      </c>
      <c r="AF23" s="162">
        <f t="shared" si="22"/>
        <v>0.9960805249840659</v>
      </c>
      <c r="AG23" s="186">
        <f>IF(ABS(AF23)&lt;10,SIGN(AF23)*ERF(ABS(AF23)),SIGN(AF23))</f>
        <v>0.8410673423079706</v>
      </c>
      <c r="AH23" s="202">
        <f t="shared" si="23"/>
        <v>1.2674921121731846</v>
      </c>
      <c r="AI23" s="202">
        <f t="shared" si="24"/>
        <v>0.724668937794947</v>
      </c>
    </row>
    <row r="24" spans="1:35" s="26" customFormat="1" ht="15" customHeight="1">
      <c r="A24" s="127">
        <f t="shared" si="30"/>
        <v>9.75</v>
      </c>
      <c r="B24" s="49">
        <f t="shared" si="0"/>
        <v>-3.289220321570565</v>
      </c>
      <c r="C24" s="135">
        <f t="shared" si="1"/>
        <v>0.026039999999999997</v>
      </c>
      <c r="D24" s="150">
        <f t="shared" si="2"/>
        <v>14577.07624695209</v>
      </c>
      <c r="E24" s="150">
        <f t="shared" si="3"/>
        <v>102564.10256410256</v>
      </c>
      <c r="F24" s="108">
        <f t="shared" si="25"/>
        <v>69.23222689951542</v>
      </c>
      <c r="G24" s="108">
        <f t="shared" si="4"/>
        <v>81.28298645355645</v>
      </c>
      <c r="H24" s="50">
        <f t="shared" si="5"/>
        <v>1.6839891258177067</v>
      </c>
      <c r="I24" s="49">
        <f t="shared" si="6"/>
        <v>4.915687325976791</v>
      </c>
      <c r="J24" s="49">
        <f t="shared" si="7"/>
        <v>-0.4153853555976418</v>
      </c>
      <c r="K24" s="49">
        <f t="shared" si="8"/>
        <v>0</v>
      </c>
      <c r="L24" s="49">
        <f t="shared" si="9"/>
        <v>0</v>
      </c>
      <c r="M24" s="49">
        <f t="shared" si="26"/>
        <v>0.00041337063838320457</v>
      </c>
      <c r="N24" s="49">
        <f t="shared" si="27"/>
        <v>0.04491096629980729</v>
      </c>
      <c r="O24" s="49">
        <f t="shared" si="10"/>
        <v>0.11125403883581306</v>
      </c>
      <c r="P24" s="49">
        <f t="shared" si="11"/>
        <v>0</v>
      </c>
      <c r="Q24" s="49">
        <f t="shared" si="12"/>
        <v>0</v>
      </c>
      <c r="R24" s="206">
        <f t="shared" si="13"/>
        <v>0.4045668369679236</v>
      </c>
      <c r="S24" s="53">
        <f t="shared" si="14"/>
        <v>7.160408293898041</v>
      </c>
      <c r="T24" s="49">
        <f t="shared" si="15"/>
        <v>6.915687325976791</v>
      </c>
      <c r="U24" s="49">
        <f t="shared" si="16"/>
        <v>2.2447209679212508</v>
      </c>
      <c r="V24" s="54">
        <f t="shared" si="17"/>
        <v>0.8395917061019587</v>
      </c>
      <c r="W24" s="99">
        <f t="shared" si="18"/>
        <v>-11.320254162944714</v>
      </c>
      <c r="X24" s="25">
        <f t="shared" si="31"/>
        <v>-0.15125458446455742</v>
      </c>
      <c r="Y24" s="23">
        <f t="shared" si="19"/>
        <v>2.2295037120051053</v>
      </c>
      <c r="Z24" s="23">
        <f t="shared" si="20"/>
        <v>2.2295037120051053</v>
      </c>
      <c r="AA24" s="214">
        <f>ERF(AH24)+ERF(AI24)-1</f>
        <v>0.6182219259056749</v>
      </c>
      <c r="AB24" s="52">
        <f t="shared" si="21"/>
        <v>8</v>
      </c>
      <c r="AC24" s="143">
        <f t="shared" si="28"/>
        <v>10</v>
      </c>
      <c r="AD24" s="144">
        <f t="shared" si="32"/>
        <v>9.9</v>
      </c>
      <c r="AE24" s="208">
        <f t="shared" si="29"/>
        <v>0</v>
      </c>
      <c r="AF24" s="162">
        <f t="shared" si="22"/>
        <v>0.9918501702787319</v>
      </c>
      <c r="AG24" s="186">
        <f>IF(ABS(AF24)&lt;10,SIGN(AF24)*ERF(ABS(AF24)),SIGN(AF24))</f>
        <v>0.8392900250132744</v>
      </c>
      <c r="AH24" s="202">
        <f t="shared" si="23"/>
        <v>1.2621090722620376</v>
      </c>
      <c r="AI24" s="202">
        <f t="shared" si="24"/>
        <v>0.7215912682954262</v>
      </c>
    </row>
    <row r="25" spans="1:35" s="20" customFormat="1" ht="15" customHeight="1">
      <c r="A25" s="126">
        <f t="shared" si="30"/>
        <v>10</v>
      </c>
      <c r="B25" s="97">
        <f t="shared" si="0"/>
        <v>-3.289220321570565</v>
      </c>
      <c r="C25" s="134">
        <f t="shared" si="1"/>
        <v>0.026039999999999997</v>
      </c>
      <c r="D25" s="149">
        <f t="shared" si="2"/>
        <v>14212.649340778287</v>
      </c>
      <c r="E25" s="149">
        <f t="shared" si="3"/>
        <v>100000</v>
      </c>
      <c r="F25" s="107">
        <f t="shared" si="25"/>
        <v>69.64593197071467</v>
      </c>
      <c r="G25" s="107">
        <f t="shared" si="4"/>
        <v>81.6356446989455</v>
      </c>
      <c r="H25" s="100">
        <f t="shared" si="5"/>
        <v>1.7072890281654964</v>
      </c>
      <c r="I25" s="97">
        <f t="shared" si="6"/>
        <v>5.041730590745426</v>
      </c>
      <c r="J25" s="97">
        <f t="shared" si="7"/>
        <v>-0.4260362621514275</v>
      </c>
      <c r="K25" s="97">
        <f t="shared" si="8"/>
        <v>0</v>
      </c>
      <c r="L25" s="97">
        <f t="shared" si="9"/>
        <v>0</v>
      </c>
      <c r="M25" s="97">
        <f t="shared" si="26"/>
        <v>0.0004115849164162235</v>
      </c>
      <c r="N25" s="97">
        <f t="shared" si="27"/>
        <v>0.04471494383323477</v>
      </c>
      <c r="O25" s="97">
        <f t="shared" si="10"/>
        <v>0.11337794320048047</v>
      </c>
      <c r="P25" s="97">
        <f t="shared" si="11"/>
        <v>0</v>
      </c>
      <c r="Q25" s="97">
        <f t="shared" si="12"/>
        <v>0</v>
      </c>
      <c r="R25" s="205">
        <f t="shared" si="13"/>
        <v>0.4048920035392909</v>
      </c>
      <c r="S25" s="98">
        <f t="shared" si="14"/>
        <v>7.312004509483929</v>
      </c>
      <c r="T25" s="97">
        <f t="shared" si="15"/>
        <v>7.041730590745426</v>
      </c>
      <c r="U25" s="97">
        <f t="shared" si="16"/>
        <v>2.2702739187385026</v>
      </c>
      <c r="V25" s="102">
        <f t="shared" si="17"/>
        <v>0.6879954905160712</v>
      </c>
      <c r="W25" s="103">
        <f t="shared" si="18"/>
        <v>-11.446622594284719</v>
      </c>
      <c r="X25" s="27">
        <f t="shared" si="31"/>
        <v>-0.15193994235148844</v>
      </c>
      <c r="Y25" s="18">
        <f t="shared" si="19"/>
        <v>2.2295037120051053</v>
      </c>
      <c r="Z25" s="18">
        <f t="shared" si="20"/>
        <v>2.2295037120051053</v>
      </c>
      <c r="AA25" s="216">
        <f>ERF(AH25)+ERF(AI25)-1</f>
        <v>0.6148680077647639</v>
      </c>
      <c r="AB25" s="101">
        <f t="shared" si="21"/>
        <v>8</v>
      </c>
      <c r="AC25" s="192">
        <f t="shared" si="28"/>
        <v>10</v>
      </c>
      <c r="AD25" s="193">
        <f t="shared" si="32"/>
        <v>9.9</v>
      </c>
      <c r="AE25" s="207">
        <f t="shared" si="29"/>
        <v>0.6879954905160712</v>
      </c>
      <c r="AF25" s="161">
        <f t="shared" si="22"/>
        <v>0.9875654715784368</v>
      </c>
      <c r="AG25" s="185">
        <f>IF(ABS(AF25)&lt;10,SIGN(AF25)*ERF(ABS(AF25)),SIGN(AF25))</f>
        <v>0.8374746079753248</v>
      </c>
      <c r="AH25" s="200">
        <f t="shared" si="23"/>
        <v>1.2566568807278744</v>
      </c>
      <c r="AI25" s="200">
        <f t="shared" si="24"/>
        <v>0.7184740624289988</v>
      </c>
    </row>
    <row r="26" spans="1:35" s="26" customFormat="1" ht="15" customHeight="1">
      <c r="A26" s="127">
        <f t="shared" si="30"/>
        <v>10.25</v>
      </c>
      <c r="B26" s="49">
        <f t="shared" si="0"/>
        <v>-3.289220321570565</v>
      </c>
      <c r="C26" s="135">
        <f t="shared" si="1"/>
        <v>0.026039999999999997</v>
      </c>
      <c r="D26" s="150">
        <f t="shared" si="2"/>
        <v>13865.999356856864</v>
      </c>
      <c r="E26" s="150">
        <f t="shared" si="3"/>
        <v>97560.9756097561</v>
      </c>
      <c r="F26" s="108">
        <f t="shared" si="25"/>
        <v>70.06757442264525</v>
      </c>
      <c r="G26" s="108">
        <f t="shared" si="4"/>
        <v>81.99565617040932</v>
      </c>
      <c r="H26" s="50">
        <f t="shared" si="5"/>
        <v>1.7311992221226138</v>
      </c>
      <c r="I26" s="49">
        <f t="shared" si="6"/>
        <v>5.167773855514062</v>
      </c>
      <c r="J26" s="49">
        <f t="shared" si="7"/>
        <v>-0.4366871687052132</v>
      </c>
      <c r="K26" s="49">
        <f t="shared" si="8"/>
        <v>0</v>
      </c>
      <c r="L26" s="49">
        <f t="shared" si="9"/>
        <v>0</v>
      </c>
      <c r="M26" s="49">
        <f t="shared" si="26"/>
        <v>0.00040977780493847195</v>
      </c>
      <c r="N26" s="49">
        <f t="shared" si="27"/>
        <v>0.04451659140779441</v>
      </c>
      <c r="O26" s="49">
        <f t="shared" si="10"/>
        <v>0.11558295541961286</v>
      </c>
      <c r="P26" s="49">
        <f t="shared" si="11"/>
        <v>0</v>
      </c>
      <c r="Q26" s="49">
        <f t="shared" si="12"/>
        <v>0</v>
      </c>
      <c r="R26" s="206">
        <f t="shared" si="13"/>
        <v>0.40521555413693555</v>
      </c>
      <c r="S26" s="53">
        <f t="shared" si="14"/>
        <v>7.464288178601018</v>
      </c>
      <c r="T26" s="49">
        <f t="shared" si="15"/>
        <v>7.167773855514062</v>
      </c>
      <c r="U26" s="49">
        <f t="shared" si="16"/>
        <v>2.2965143230869565</v>
      </c>
      <c r="V26" s="54">
        <f t="shared" si="17"/>
        <v>0.5357118213989818</v>
      </c>
      <c r="W26" s="99">
        <f t="shared" si="18"/>
        <v>-11.572989409650997</v>
      </c>
      <c r="X26" s="25">
        <f t="shared" si="31"/>
        <v>-0.15262877977355327</v>
      </c>
      <c r="Y26" s="23">
        <f t="shared" si="19"/>
        <v>2.2295037120051053</v>
      </c>
      <c r="Z26" s="23">
        <f t="shared" si="20"/>
        <v>2.2295037120051053</v>
      </c>
      <c r="AA26" s="214">
        <f>ERF(AH26)+ERF(AI26)-1</f>
        <v>0.6114465830557496</v>
      </c>
      <c r="AB26" s="52">
        <f t="shared" si="21"/>
        <v>8</v>
      </c>
      <c r="AC26" s="143">
        <f t="shared" si="28"/>
        <v>10</v>
      </c>
      <c r="AD26" s="144">
        <f t="shared" si="32"/>
        <v>9.9</v>
      </c>
      <c r="AE26" s="208">
        <f t="shared" si="29"/>
        <v>0</v>
      </c>
      <c r="AF26" s="162">
        <f t="shared" si="22"/>
        <v>0.9832294504378666</v>
      </c>
      <c r="AG26" s="186">
        <f>IF(ABS(AF26)&lt;10,SIGN(AF26)*ERF(ABS(AF26)),SIGN(AF26))</f>
        <v>0.8356217380673544</v>
      </c>
      <c r="AH26" s="202">
        <f t="shared" si="23"/>
        <v>1.2511393824372852</v>
      </c>
      <c r="AI26" s="202">
        <f t="shared" si="24"/>
        <v>0.7153195184384479</v>
      </c>
    </row>
    <row r="27" spans="1:35" s="26" customFormat="1" ht="15" customHeight="1">
      <c r="A27" s="127">
        <f t="shared" si="30"/>
        <v>10.5</v>
      </c>
      <c r="B27" s="49">
        <f t="shared" si="0"/>
        <v>-3.289220321570565</v>
      </c>
      <c r="C27" s="135">
        <f t="shared" si="1"/>
        <v>0.026039999999999997</v>
      </c>
      <c r="D27" s="150">
        <f t="shared" si="2"/>
        <v>13535.85651502694</v>
      </c>
      <c r="E27" s="150">
        <f t="shared" si="3"/>
        <v>95238.09523809524</v>
      </c>
      <c r="F27" s="108">
        <f t="shared" si="25"/>
        <v>70.49701183508795</v>
      </c>
      <c r="G27" s="108">
        <f t="shared" si="4"/>
        <v>82.36292444431282</v>
      </c>
      <c r="H27" s="50">
        <f t="shared" si="5"/>
        <v>1.7557205248031953</v>
      </c>
      <c r="I27" s="49">
        <f t="shared" si="6"/>
        <v>5.293817120282698</v>
      </c>
      <c r="J27" s="49">
        <f t="shared" si="7"/>
        <v>-0.4473380752589988</v>
      </c>
      <c r="K27" s="49">
        <f t="shared" si="8"/>
        <v>0</v>
      </c>
      <c r="L27" s="49">
        <f t="shared" si="9"/>
        <v>0</v>
      </c>
      <c r="M27" s="49">
        <f t="shared" si="26"/>
        <v>0.0004079505460338239</v>
      </c>
      <c r="N27" s="49">
        <f t="shared" si="27"/>
        <v>0.04431604597850515</v>
      </c>
      <c r="O27" s="49">
        <f t="shared" si="10"/>
        <v>0.11787147593409715</v>
      </c>
      <c r="P27" s="49">
        <f t="shared" si="11"/>
        <v>0</v>
      </c>
      <c r="Q27" s="49">
        <f t="shared" si="12"/>
        <v>0</v>
      </c>
      <c r="R27" s="206">
        <f t="shared" si="13"/>
        <v>0.40553690203254034</v>
      </c>
      <c r="S27" s="53">
        <f t="shared" si="14"/>
        <v>7.617262069031035</v>
      </c>
      <c r="T27" s="49">
        <f t="shared" si="15"/>
        <v>7.293817120282698</v>
      </c>
      <c r="U27" s="49">
        <f t="shared" si="16"/>
        <v>2.323444948748337</v>
      </c>
      <c r="V27" s="54">
        <f t="shared" si="17"/>
        <v>0.3827379309689647</v>
      </c>
      <c r="W27" s="99">
        <f t="shared" si="18"/>
        <v>-11.699354022315239</v>
      </c>
      <c r="X27" s="25">
        <f t="shared" si="31"/>
        <v>-0.1533207102039844</v>
      </c>
      <c r="Y27" s="23">
        <f t="shared" si="19"/>
        <v>2.2295037120051053</v>
      </c>
      <c r="Z27" s="23">
        <f t="shared" si="20"/>
        <v>2.2295037120051053</v>
      </c>
      <c r="AA27" s="214">
        <f>ERF(AH27)+ERF(AI27)-1</f>
        <v>0.6079589514756458</v>
      </c>
      <c r="AB27" s="52">
        <f t="shared" si="21"/>
        <v>8</v>
      </c>
      <c r="AC27" s="143">
        <f t="shared" si="28"/>
        <v>10</v>
      </c>
      <c r="AD27" s="144">
        <f t="shared" si="32"/>
        <v>9.9</v>
      </c>
      <c r="AE27" s="208">
        <f t="shared" si="29"/>
        <v>0</v>
      </c>
      <c r="AF27" s="162">
        <f t="shared" si="22"/>
        <v>0.9788450871390917</v>
      </c>
      <c r="AG27" s="186">
        <f>IF(ABS(AF27)&lt;10,SIGN(AF27)*ERF(ABS(AF27)),SIGN(AF27))</f>
        <v>0.8337320774121046</v>
      </c>
      <c r="AH27" s="202">
        <f t="shared" si="23"/>
        <v>1.2455603697382993</v>
      </c>
      <c r="AI27" s="202">
        <f t="shared" si="24"/>
        <v>0.7121298045398841</v>
      </c>
    </row>
    <row r="28" spans="1:35" s="26" customFormat="1" ht="15" customHeight="1">
      <c r="A28" s="127">
        <f t="shared" si="30"/>
        <v>10.75</v>
      </c>
      <c r="B28" s="49">
        <f t="shared" si="0"/>
        <v>-3.289220321570565</v>
      </c>
      <c r="C28" s="135">
        <f t="shared" si="1"/>
        <v>0.026039999999999997</v>
      </c>
      <c r="D28" s="150">
        <f t="shared" si="2"/>
        <v>13221.069154212362</v>
      </c>
      <c r="E28" s="150">
        <f t="shared" si="3"/>
        <v>93023.25581395348</v>
      </c>
      <c r="F28" s="108">
        <f t="shared" si="25"/>
        <v>70.93410263533485</v>
      </c>
      <c r="G28" s="108">
        <f t="shared" si="4"/>
        <v>82.7373528826205</v>
      </c>
      <c r="H28" s="50">
        <f t="shared" si="5"/>
        <v>1.7808533070258235</v>
      </c>
      <c r="I28" s="49">
        <f t="shared" si="6"/>
        <v>5.419860385051333</v>
      </c>
      <c r="J28" s="49">
        <f t="shared" si="7"/>
        <v>-0.4579889818127845</v>
      </c>
      <c r="K28" s="49">
        <f t="shared" si="8"/>
        <v>0</v>
      </c>
      <c r="L28" s="49">
        <f t="shared" si="9"/>
        <v>0</v>
      </c>
      <c r="M28" s="49">
        <f t="shared" si="26"/>
        <v>0.0004061043631365428</v>
      </c>
      <c r="N28" s="49">
        <f t="shared" si="27"/>
        <v>0.04411344241029454</v>
      </c>
      <c r="O28" s="49">
        <f t="shared" si="10"/>
        <v>0.12024606477909418</v>
      </c>
      <c r="P28" s="49">
        <f t="shared" si="11"/>
        <v>0</v>
      </c>
      <c r="Q28" s="49">
        <f t="shared" si="12"/>
        <v>0</v>
      </c>
      <c r="R28" s="206">
        <f t="shared" si="13"/>
        <v>0.4058563997424418</v>
      </c>
      <c r="S28" s="53">
        <f t="shared" si="14"/>
        <v>7.770929599008987</v>
      </c>
      <c r="T28" s="49">
        <f t="shared" si="15"/>
        <v>7.419860385051333</v>
      </c>
      <c r="U28" s="49">
        <f t="shared" si="16"/>
        <v>2.351069213957654</v>
      </c>
      <c r="V28" s="54">
        <f t="shared" si="17"/>
        <v>0.22907040099101295</v>
      </c>
      <c r="W28" s="99">
        <f t="shared" si="18"/>
        <v>-11.825716784793775</v>
      </c>
      <c r="X28" s="25">
        <f t="shared" si="31"/>
        <v>-0.15401488894384174</v>
      </c>
      <c r="Y28" s="23">
        <f t="shared" si="19"/>
        <v>2.2295037120051053</v>
      </c>
      <c r="Z28" s="23">
        <f t="shared" si="20"/>
        <v>2.2295037120051053</v>
      </c>
      <c r="AA28" s="214">
        <f>ERF(AH28)+ERF(AI28)-1</f>
        <v>0.6044063651104716</v>
      </c>
      <c r="AB28" s="52">
        <f t="shared" si="21"/>
        <v>8</v>
      </c>
      <c r="AC28" s="143">
        <f t="shared" si="28"/>
        <v>10</v>
      </c>
      <c r="AD28" s="144">
        <f t="shared" si="32"/>
        <v>9.9</v>
      </c>
      <c r="AE28" s="208">
        <f t="shared" si="29"/>
        <v>0</v>
      </c>
      <c r="AF28" s="162">
        <f t="shared" si="22"/>
        <v>0.9744153172159158</v>
      </c>
      <c r="AG28" s="186">
        <f>IF(ABS(AF28)&lt;10,SIGN(AF28)*ERF(ABS(AF28)),SIGN(AF28))</f>
        <v>0.8318063350877389</v>
      </c>
      <c r="AH28" s="202">
        <f t="shared" si="23"/>
        <v>1.2399235780376912</v>
      </c>
      <c r="AI28" s="202">
        <f t="shared" si="24"/>
        <v>0.7089070563941403</v>
      </c>
    </row>
    <row r="29" spans="1:35" s="26" customFormat="1" ht="15" customHeight="1">
      <c r="A29" s="127">
        <f t="shared" si="30"/>
        <v>11</v>
      </c>
      <c r="B29" s="49">
        <f t="shared" si="0"/>
        <v>-3.289220321570565</v>
      </c>
      <c r="C29" s="135">
        <f t="shared" si="1"/>
        <v>0.026039999999999997</v>
      </c>
      <c r="D29" s="150">
        <f t="shared" si="2"/>
        <v>12920.590309798443</v>
      </c>
      <c r="E29" s="150">
        <f t="shared" si="3"/>
        <v>90909.09090909091</v>
      </c>
      <c r="F29" s="108">
        <f t="shared" si="25"/>
        <v>71.37870622590461</v>
      </c>
      <c r="G29" s="108">
        <f t="shared" si="4"/>
        <v>83.11884472144115</v>
      </c>
      <c r="H29" s="50">
        <f t="shared" si="5"/>
        <v>1.8065991526031502</v>
      </c>
      <c r="I29" s="49">
        <f t="shared" si="6"/>
        <v>5.5459036498199685</v>
      </c>
      <c r="J29" s="49">
        <f t="shared" si="7"/>
        <v>-0.4686398883665702</v>
      </c>
      <c r="K29" s="49">
        <f t="shared" si="8"/>
        <v>0</v>
      </c>
      <c r="L29" s="49">
        <f t="shared" si="9"/>
        <v>0</v>
      </c>
      <c r="M29" s="49">
        <f t="shared" si="26"/>
        <v>0.0004042404597008628</v>
      </c>
      <c r="N29" s="49">
        <f t="shared" si="27"/>
        <v>0.043908913331649625</v>
      </c>
      <c r="O29" s="49">
        <f t="shared" si="10"/>
        <v>0.12270918746726667</v>
      </c>
      <c r="P29" s="49">
        <f t="shared" si="11"/>
        <v>0</v>
      </c>
      <c r="Q29" s="49">
        <f t="shared" si="12"/>
        <v>0</v>
      </c>
      <c r="R29" s="206">
        <f t="shared" si="13"/>
        <v>0.40617094369668405</v>
      </c>
      <c r="S29" s="53">
        <f t="shared" si="14"/>
        <v>7.925291846918719</v>
      </c>
      <c r="T29" s="49">
        <f t="shared" si="15"/>
        <v>7.5459036498199685</v>
      </c>
      <c r="U29" s="49">
        <f t="shared" si="16"/>
        <v>2.3793881970987503</v>
      </c>
      <c r="V29" s="54">
        <f t="shared" si="17"/>
        <v>0.0747081530812812</v>
      </c>
      <c r="W29" s="99">
        <f t="shared" si="18"/>
        <v>-11.952074593516654</v>
      </c>
      <c r="X29" s="25">
        <f t="shared" si="31"/>
        <v>-0.1547138585243557</v>
      </c>
      <c r="Y29" s="23">
        <f t="shared" si="19"/>
        <v>2.2295037120051053</v>
      </c>
      <c r="Z29" s="23">
        <f t="shared" si="20"/>
        <v>2.2295037120051053</v>
      </c>
      <c r="AA29" s="214">
        <f>ERF(AH29)+ERF(AI29)-1</f>
        <v>0.6007904081459046</v>
      </c>
      <c r="AB29" s="52">
        <f t="shared" si="21"/>
        <v>8</v>
      </c>
      <c r="AC29" s="143">
        <f t="shared" si="28"/>
        <v>10</v>
      </c>
      <c r="AD29" s="144">
        <f t="shared" si="32"/>
        <v>9.9</v>
      </c>
      <c r="AE29" s="208">
        <f t="shared" si="29"/>
        <v>0</v>
      </c>
      <c r="AF29" s="162">
        <f t="shared" si="22"/>
        <v>0.9699430282616419</v>
      </c>
      <c r="AG29" s="186">
        <f>IF(ABS(AF29)&lt;10,SIGN(AF29)*ERF(ABS(AF29)),SIGN(AF29))</f>
        <v>0.8298451396872657</v>
      </c>
      <c r="AH29" s="202">
        <f t="shared" si="23"/>
        <v>1.2342326817389284</v>
      </c>
      <c r="AI29" s="202">
        <f t="shared" si="24"/>
        <v>0.7056533747843552</v>
      </c>
    </row>
    <row r="30" spans="1:35" s="20" customFormat="1" ht="15" customHeight="1">
      <c r="A30" s="126">
        <f t="shared" si="30"/>
        <v>11.25</v>
      </c>
      <c r="B30" s="97">
        <f t="shared" si="0"/>
        <v>-3.289220321570565</v>
      </c>
      <c r="C30" s="134">
        <f t="shared" si="1"/>
        <v>0.026039999999999997</v>
      </c>
      <c r="D30" s="149">
        <f t="shared" si="2"/>
        <v>12633.466080691811</v>
      </c>
      <c r="E30" s="149">
        <f t="shared" si="3"/>
        <v>88888.88888888889</v>
      </c>
      <c r="F30" s="107">
        <f t="shared" si="25"/>
        <v>71.83068310330798</v>
      </c>
      <c r="G30" s="107">
        <f t="shared" si="4"/>
        <v>83.50730315625637</v>
      </c>
      <c r="H30" s="100">
        <f t="shared" si="5"/>
        <v>1.832958425728835</v>
      </c>
      <c r="I30" s="97">
        <f t="shared" si="6"/>
        <v>5.671946914588605</v>
      </c>
      <c r="J30" s="97">
        <f t="shared" si="7"/>
        <v>-0.4792907949203559</v>
      </c>
      <c r="K30" s="97">
        <f t="shared" si="8"/>
        <v>0</v>
      </c>
      <c r="L30" s="97">
        <f t="shared" si="9"/>
        <v>0</v>
      </c>
      <c r="M30" s="97">
        <f t="shared" si="26"/>
        <v>0.00040236001798703384</v>
      </c>
      <c r="N30" s="97">
        <f t="shared" si="27"/>
        <v>0.043702589001249084</v>
      </c>
      <c r="O30" s="97">
        <f t="shared" si="10"/>
        <v>0.12526407187993488</v>
      </c>
      <c r="P30" s="97">
        <f t="shared" si="11"/>
        <v>0</v>
      </c>
      <c r="Q30" s="97">
        <f t="shared" si="12"/>
        <v>0</v>
      </c>
      <c r="R30" s="205">
        <f t="shared" si="13"/>
        <v>0.4064853148590748</v>
      </c>
      <c r="S30" s="98">
        <f t="shared" si="14"/>
        <v>8.080357316057698</v>
      </c>
      <c r="T30" s="97">
        <f t="shared" si="15"/>
        <v>7.671946914588605</v>
      </c>
      <c r="U30" s="97">
        <f t="shared" si="16"/>
        <v>2.4084104014690935</v>
      </c>
      <c r="V30" s="102">
        <f t="shared" si="17"/>
        <v>-0.08035731605769847</v>
      </c>
      <c r="W30" s="103">
        <f t="shared" si="18"/>
        <v>-12.078432229447682</v>
      </c>
      <c r="X30" s="27">
        <f t="shared" si="31"/>
        <v>-0.15541787940133167</v>
      </c>
      <c r="Y30" s="18">
        <f t="shared" si="19"/>
        <v>2.2295037120051053</v>
      </c>
      <c r="Z30" s="18">
        <f t="shared" si="20"/>
        <v>2.2295037120051053</v>
      </c>
      <c r="AA30" s="216">
        <f>ERF(AH30)+ERF(AI30)-1</f>
        <v>0.5971117618283852</v>
      </c>
      <c r="AB30" s="101">
        <f t="shared" si="21"/>
        <v>8</v>
      </c>
      <c r="AC30" s="192">
        <f t="shared" si="28"/>
        <v>10</v>
      </c>
      <c r="AD30" s="193">
        <f t="shared" si="32"/>
        <v>9.9</v>
      </c>
      <c r="AE30" s="207">
        <f t="shared" si="29"/>
        <v>0</v>
      </c>
      <c r="AF30" s="161">
        <f t="shared" si="22"/>
        <v>0.9654310570162835</v>
      </c>
      <c r="AG30" s="185">
        <f>IF(ABS(AF30)&lt;10,SIGN(AF30)*ERF(ABS(AF30)),SIGN(AF30))</f>
        <v>0.8278492252902042</v>
      </c>
      <c r="AH30" s="200">
        <f t="shared" si="23"/>
        <v>1.2284912905357068</v>
      </c>
      <c r="AI30" s="200">
        <f t="shared" si="24"/>
        <v>0.7023708234968601</v>
      </c>
    </row>
    <row r="31" spans="1:35" s="26" customFormat="1" ht="15" customHeight="1">
      <c r="A31" s="127">
        <f t="shared" si="30"/>
        <v>11.5</v>
      </c>
      <c r="B31" s="49">
        <f t="shared" si="0"/>
        <v>-3.289220321570565</v>
      </c>
      <c r="C31" s="135">
        <f t="shared" si="1"/>
        <v>0.026039999999999997</v>
      </c>
      <c r="D31" s="150">
        <f t="shared" si="2"/>
        <v>12358.825513720249</v>
      </c>
      <c r="E31" s="150">
        <f t="shared" si="3"/>
        <v>86956.52173913043</v>
      </c>
      <c r="F31" s="108">
        <f t="shared" si="25"/>
        <v>72.2898949680507</v>
      </c>
      <c r="G31" s="108">
        <f t="shared" si="4"/>
        <v>83.90263142378107</v>
      </c>
      <c r="H31" s="50">
        <f t="shared" si="5"/>
        <v>1.8599318667628135</v>
      </c>
      <c r="I31" s="49">
        <f t="shared" si="6"/>
        <v>5.79799017935724</v>
      </c>
      <c r="J31" s="49">
        <f t="shared" si="7"/>
        <v>-0.4899417014741416</v>
      </c>
      <c r="K31" s="49">
        <f t="shared" si="8"/>
        <v>0</v>
      </c>
      <c r="L31" s="49">
        <f t="shared" si="9"/>
        <v>0</v>
      </c>
      <c r="M31" s="49">
        <f t="shared" si="26"/>
        <v>0.00040046419796169267</v>
      </c>
      <c r="N31" s="49">
        <f t="shared" si="27"/>
        <v>0.043494597187309636</v>
      </c>
      <c r="O31" s="49">
        <f t="shared" si="10"/>
        <v>0.12791346838667003</v>
      </c>
      <c r="P31" s="49">
        <f t="shared" si="11"/>
        <v>0</v>
      </c>
      <c r="Q31" s="49">
        <f t="shared" si="12"/>
        <v>0</v>
      </c>
      <c r="R31" s="206">
        <f t="shared" si="13"/>
        <v>0.4067974940273502</v>
      </c>
      <c r="S31" s="53">
        <f t="shared" si="14"/>
        <v>8.236127605721382</v>
      </c>
      <c r="T31" s="49">
        <f t="shared" si="15"/>
        <v>7.79799017935724</v>
      </c>
      <c r="U31" s="49">
        <f t="shared" si="16"/>
        <v>2.4381374263641424</v>
      </c>
      <c r="V31" s="54">
        <f t="shared" si="17"/>
        <v>-0.23612760572138214</v>
      </c>
      <c r="W31" s="99">
        <f t="shared" si="18"/>
        <v>-12.204787673384589</v>
      </c>
      <c r="X31" s="25">
        <f t="shared" si="31"/>
        <v>-0.15612478407779484</v>
      </c>
      <c r="Y31" s="23">
        <f t="shared" si="19"/>
        <v>2.2295037120051053</v>
      </c>
      <c r="Z31" s="23">
        <f t="shared" si="20"/>
        <v>2.2295037120051053</v>
      </c>
      <c r="AA31" s="214">
        <f>ERF(AH31)+ERF(AI31)-1</f>
        <v>0.5933720203808046</v>
      </c>
      <c r="AB31" s="52">
        <f t="shared" si="21"/>
        <v>8</v>
      </c>
      <c r="AC31" s="143">
        <f t="shared" si="28"/>
        <v>10</v>
      </c>
      <c r="AD31" s="144">
        <f t="shared" si="32"/>
        <v>9.9</v>
      </c>
      <c r="AE31" s="208">
        <f t="shared" si="29"/>
        <v>0</v>
      </c>
      <c r="AF31" s="162">
        <f t="shared" si="22"/>
        <v>0.9608821867280912</v>
      </c>
      <c r="AG31" s="186">
        <f>IF(ABS(AF31)&lt;10,SIGN(AF31)*ERF(ABS(AF31)),SIGN(AF31))</f>
        <v>0.8258193085275785</v>
      </c>
      <c r="AH31" s="202">
        <f t="shared" si="23"/>
        <v>1.2227029460545467</v>
      </c>
      <c r="AI31" s="202">
        <f t="shared" si="24"/>
        <v>0.6990614274016358</v>
      </c>
    </row>
    <row r="32" spans="1:35" s="26" customFormat="1" ht="15" customHeight="1">
      <c r="A32" s="127">
        <f t="shared" si="30"/>
        <v>11.75</v>
      </c>
      <c r="B32" s="49">
        <f t="shared" si="0"/>
        <v>-3.289220321570565</v>
      </c>
      <c r="C32" s="135">
        <f t="shared" si="1"/>
        <v>0.026039999999999997</v>
      </c>
      <c r="D32" s="150">
        <f t="shared" si="2"/>
        <v>12095.871779385776</v>
      </c>
      <c r="E32" s="150">
        <f t="shared" si="3"/>
        <v>85106.3829787234</v>
      </c>
      <c r="F32" s="108">
        <f t="shared" si="25"/>
        <v>72.75620482608915</v>
      </c>
      <c r="G32" s="108">
        <f t="shared" si="4"/>
        <v>84.30473288041954</v>
      </c>
      <c r="H32" s="50">
        <f t="shared" si="5"/>
        <v>1.887520205203255</v>
      </c>
      <c r="I32" s="49">
        <f t="shared" si="6"/>
        <v>5.924033444125876</v>
      </c>
      <c r="J32" s="49">
        <f t="shared" si="7"/>
        <v>-0.5005926080279273</v>
      </c>
      <c r="K32" s="49">
        <f t="shared" si="8"/>
        <v>0</v>
      </c>
      <c r="L32" s="49">
        <f t="shared" si="9"/>
        <v>0</v>
      </c>
      <c r="M32" s="49">
        <f t="shared" si="26"/>
        <v>0.00039855413630998974</v>
      </c>
      <c r="N32" s="49">
        <f t="shared" si="27"/>
        <v>0.04328506305938433</v>
      </c>
      <c r="O32" s="49">
        <f t="shared" si="10"/>
        <v>0.1306604775538931</v>
      </c>
      <c r="P32" s="49">
        <f t="shared" si="11"/>
        <v>0</v>
      </c>
      <c r="Q32" s="49">
        <f t="shared" si="12"/>
        <v>0</v>
      </c>
      <c r="R32" s="206">
        <f t="shared" si="13"/>
        <v>0.40710769427087956</v>
      </c>
      <c r="S32" s="53">
        <f t="shared" si="14"/>
        <v>8.392606884213288</v>
      </c>
      <c r="T32" s="49">
        <f t="shared" si="15"/>
        <v>7.924033444125876</v>
      </c>
      <c r="U32" s="49">
        <f t="shared" si="16"/>
        <v>2.468573440087412</v>
      </c>
      <c r="V32" s="54">
        <f t="shared" si="17"/>
        <v>-0.39260688421328815</v>
      </c>
      <c r="W32" s="99">
        <f t="shared" si="18"/>
        <v>-12.331141138396754</v>
      </c>
      <c r="X32" s="25">
        <f t="shared" si="31"/>
        <v>-0.15683576265310606</v>
      </c>
      <c r="Y32" s="23">
        <f t="shared" si="19"/>
        <v>2.2295037120051053</v>
      </c>
      <c r="Z32" s="23">
        <f t="shared" si="20"/>
        <v>2.2295037120051053</v>
      </c>
      <c r="AA32" s="214">
        <f>ERF(AH32)+ERF(AI32)-1</f>
        <v>0.5895724890670142</v>
      </c>
      <c r="AB32" s="52">
        <f t="shared" si="21"/>
        <v>8</v>
      </c>
      <c r="AC32" s="143">
        <f t="shared" si="28"/>
        <v>10</v>
      </c>
      <c r="AD32" s="144">
        <f t="shared" si="32"/>
        <v>9.9</v>
      </c>
      <c r="AE32" s="208">
        <f t="shared" si="29"/>
        <v>0</v>
      </c>
      <c r="AF32" s="162">
        <f t="shared" si="22"/>
        <v>0.9562991447832296</v>
      </c>
      <c r="AG32" s="186">
        <f>IF(ABS(AF32)&lt;10,SIGN(AF32)*ERF(ABS(AF32)),SIGN(AF32))</f>
        <v>0.823756117859843</v>
      </c>
      <c r="AH32" s="202">
        <f t="shared" si="23"/>
        <v>1.2168711188386054</v>
      </c>
      <c r="AI32" s="202">
        <f t="shared" si="24"/>
        <v>0.6957271707278536</v>
      </c>
    </row>
    <row r="33" spans="1:35" s="26" customFormat="1" ht="15" customHeight="1">
      <c r="A33" s="127">
        <f t="shared" si="30"/>
        <v>12</v>
      </c>
      <c r="B33" s="49">
        <f t="shared" si="0"/>
        <v>-3.289220321570565</v>
      </c>
      <c r="C33" s="135">
        <f t="shared" si="1"/>
        <v>0.026039999999999997</v>
      </c>
      <c r="D33" s="150">
        <f t="shared" si="2"/>
        <v>11843.874450648573</v>
      </c>
      <c r="E33" s="150">
        <f t="shared" si="3"/>
        <v>83333.33333333333</v>
      </c>
      <c r="F33" s="108">
        <f t="shared" si="25"/>
        <v>73.22947708197812</v>
      </c>
      <c r="G33" s="108">
        <f t="shared" si="4"/>
        <v>84.71351107729517</v>
      </c>
      <c r="H33" s="50">
        <f t="shared" si="5"/>
        <v>1.9157241637851654</v>
      </c>
      <c r="I33" s="49">
        <f t="shared" si="6"/>
        <v>6.050076708894512</v>
      </c>
      <c r="J33" s="49">
        <f t="shared" si="7"/>
        <v>-0.5112435145817129</v>
      </c>
      <c r="K33" s="49">
        <f t="shared" si="8"/>
        <v>0</v>
      </c>
      <c r="L33" s="49">
        <f t="shared" si="9"/>
        <v>0</v>
      </c>
      <c r="M33" s="49">
        <f t="shared" si="26"/>
        <v>0.0003966309455565163</v>
      </c>
      <c r="N33" s="49">
        <f t="shared" si="27"/>
        <v>0.04307410909224325</v>
      </c>
      <c r="O33" s="49">
        <f t="shared" si="10"/>
        <v>0.13350831618546807</v>
      </c>
      <c r="P33" s="49">
        <f t="shared" si="11"/>
        <v>0</v>
      </c>
      <c r="Q33" s="49">
        <f t="shared" si="12"/>
        <v>0</v>
      </c>
      <c r="R33" s="206">
        <f t="shared" si="13"/>
        <v>0.40741583307020424</v>
      </c>
      <c r="S33" s="53">
        <f t="shared" si="14"/>
        <v>8.549799131027594</v>
      </c>
      <c r="T33" s="49">
        <f t="shared" si="15"/>
        <v>8.050076708894512</v>
      </c>
      <c r="U33" s="49">
        <f t="shared" si="16"/>
        <v>2.4997224221330825</v>
      </c>
      <c r="V33" s="54">
        <f t="shared" si="17"/>
        <v>-0.5497991310275943</v>
      </c>
      <c r="W33" s="99">
        <f t="shared" si="18"/>
        <v>-12.457492541964715</v>
      </c>
      <c r="X33" s="25">
        <f t="shared" si="31"/>
        <v>-0.15755112420743078</v>
      </c>
      <c r="Y33" s="23">
        <f t="shared" si="19"/>
        <v>2.2295037120051053</v>
      </c>
      <c r="Z33" s="23">
        <f t="shared" si="20"/>
        <v>2.2295037120051053</v>
      </c>
      <c r="AA33" s="214">
        <f>ERF(AH33)+ERF(AI33)-1</f>
        <v>0.585714533339877</v>
      </c>
      <c r="AB33" s="52">
        <f t="shared" si="21"/>
        <v>8</v>
      </c>
      <c r="AC33" s="143">
        <f t="shared" si="28"/>
        <v>10</v>
      </c>
      <c r="AD33" s="144">
        <f t="shared" si="32"/>
        <v>9.9</v>
      </c>
      <c r="AE33" s="208">
        <f t="shared" si="29"/>
        <v>0</v>
      </c>
      <c r="AF33" s="162">
        <f t="shared" si="22"/>
        <v>0.9516846005965116</v>
      </c>
      <c r="AG33" s="186">
        <f>IF(ABS(AF33)&lt;10,SIGN(AF33)*ERF(ABS(AF33)),SIGN(AF33))</f>
        <v>0.8216603928026408</v>
      </c>
      <c r="AH33" s="202">
        <f t="shared" si="23"/>
        <v>1.210999205663681</v>
      </c>
      <c r="AI33" s="202">
        <f t="shared" si="24"/>
        <v>0.6923699955293422</v>
      </c>
    </row>
    <row r="34" spans="1:35" s="26" customFormat="1" ht="15" customHeight="1">
      <c r="A34" s="127">
        <f t="shared" si="30"/>
        <v>12.25</v>
      </c>
      <c r="B34" s="49">
        <f t="shared" si="0"/>
        <v>-3.289220321570565</v>
      </c>
      <c r="C34" s="135">
        <f t="shared" si="1"/>
        <v>0.026039999999999997</v>
      </c>
      <c r="D34" s="150">
        <f t="shared" si="2"/>
        <v>11602.162727165949</v>
      </c>
      <c r="E34" s="150">
        <f t="shared" si="3"/>
        <v>81632.6530612245</v>
      </c>
      <c r="F34" s="108">
        <f t="shared" si="25"/>
        <v>73.70957762397073</v>
      </c>
      <c r="G34" s="108">
        <f t="shared" si="4"/>
        <v>85.12886983184505</v>
      </c>
      <c r="H34" s="50">
        <f t="shared" si="5"/>
        <v>1.9445444629553164</v>
      </c>
      <c r="I34" s="49">
        <f t="shared" si="6"/>
        <v>6.176119973663147</v>
      </c>
      <c r="J34" s="49">
        <f t="shared" si="7"/>
        <v>-0.5218944211354986</v>
      </c>
      <c r="K34" s="49">
        <f t="shared" si="8"/>
        <v>0</v>
      </c>
      <c r="L34" s="49">
        <f t="shared" si="9"/>
        <v>0</v>
      </c>
      <c r="M34" s="49">
        <f t="shared" si="26"/>
        <v>0.00039469571329174276</v>
      </c>
      <c r="N34" s="49">
        <f t="shared" si="27"/>
        <v>0.04286185498149409</v>
      </c>
      <c r="O34" s="49">
        <f t="shared" si="10"/>
        <v>0.13646041480604573</v>
      </c>
      <c r="P34" s="49">
        <f t="shared" si="11"/>
        <v>0</v>
      </c>
      <c r="Q34" s="49">
        <f t="shared" si="12"/>
        <v>0</v>
      </c>
      <c r="R34" s="206">
        <f t="shared" si="13"/>
        <v>0.40772242622214705</v>
      </c>
      <c r="S34" s="53">
        <f t="shared" si="14"/>
        <v>8.70770913262815</v>
      </c>
      <c r="T34" s="49">
        <f t="shared" si="15"/>
        <v>8.176119973663148</v>
      </c>
      <c r="U34" s="49">
        <f t="shared" si="16"/>
        <v>2.5315891589650024</v>
      </c>
      <c r="V34" s="54">
        <f t="shared" si="17"/>
        <v>-0.7077091326281497</v>
      </c>
      <c r="W34" s="99">
        <f t="shared" si="18"/>
        <v>-12.583842399885295</v>
      </c>
      <c r="X34" s="25">
        <f t="shared" si="31"/>
        <v>-0.15827117600207163</v>
      </c>
      <c r="Y34" s="23">
        <f t="shared" si="19"/>
        <v>2.2295037120051053</v>
      </c>
      <c r="Z34" s="23">
        <f t="shared" si="20"/>
        <v>2.2295037120051053</v>
      </c>
      <c r="AA34" s="214">
        <f>ERF(AH34)+ERF(AI34)-1</f>
        <v>0.581799456334152</v>
      </c>
      <c r="AB34" s="52">
        <f t="shared" si="21"/>
        <v>8</v>
      </c>
      <c r="AC34" s="143">
        <f t="shared" si="28"/>
        <v>10</v>
      </c>
      <c r="AD34" s="144">
        <f t="shared" si="32"/>
        <v>9.9</v>
      </c>
      <c r="AE34" s="208">
        <f t="shared" si="29"/>
        <v>0</v>
      </c>
      <c r="AF34" s="162">
        <f t="shared" si="22"/>
        <v>0.947041163755298</v>
      </c>
      <c r="AG34" s="186">
        <f>IF(ABS(AF34)&lt;10,SIGN(AF34)*ERF(ABS(AF34)),SIGN(AF34))</f>
        <v>0.8195328831298024</v>
      </c>
      <c r="AH34" s="202">
        <f t="shared" si="23"/>
        <v>1.2050905271763601</v>
      </c>
      <c r="AI34" s="202">
        <f t="shared" si="24"/>
        <v>0.6889918003342358</v>
      </c>
    </row>
    <row r="35" spans="1:35" s="79" customFormat="1" ht="15" customHeight="1">
      <c r="A35" s="128">
        <f t="shared" si="30"/>
        <v>12.5</v>
      </c>
      <c r="B35" s="74">
        <f t="shared" si="0"/>
        <v>-3.289220321570565</v>
      </c>
      <c r="C35" s="136">
        <f t="shared" si="1"/>
        <v>0.026039999999999997</v>
      </c>
      <c r="D35" s="151">
        <f t="shared" si="2"/>
        <v>11370.119472622631</v>
      </c>
      <c r="E35" s="151">
        <f t="shared" si="3"/>
        <v>80000</v>
      </c>
      <c r="F35" s="109">
        <f t="shared" si="25"/>
        <v>74.19637390134683</v>
      </c>
      <c r="G35" s="109">
        <f t="shared" si="4"/>
        <v>85.55071329598319</v>
      </c>
      <c r="H35" s="75">
        <f t="shared" si="5"/>
        <v>1.9739813452310955</v>
      </c>
      <c r="I35" s="74">
        <f t="shared" si="6"/>
        <v>6.302163238431782</v>
      </c>
      <c r="J35" s="74">
        <f t="shared" si="7"/>
        <v>-0.5325453276892843</v>
      </c>
      <c r="K35" s="74">
        <f t="shared" si="8"/>
        <v>0</v>
      </c>
      <c r="L35" s="74">
        <f t="shared" si="9"/>
        <v>0</v>
      </c>
      <c r="M35" s="74">
        <f t="shared" si="26"/>
        <v>0.0003927495015003879</v>
      </c>
      <c r="N35" s="74">
        <f t="shared" si="27"/>
        <v>0.04264841757051528</v>
      </c>
      <c r="O35" s="74">
        <f t="shared" si="10"/>
        <v>0.13952033429804328</v>
      </c>
      <c r="P35" s="74">
        <f t="shared" si="11"/>
        <v>0</v>
      </c>
      <c r="Q35" s="74">
        <f t="shared" si="12"/>
        <v>0</v>
      </c>
      <c r="R35" s="204">
        <f t="shared" si="13"/>
        <v>0.40802814750030336</v>
      </c>
      <c r="S35" s="77">
        <f t="shared" si="14"/>
        <v>8.866341483031738</v>
      </c>
      <c r="T35" s="74">
        <f t="shared" si="15"/>
        <v>8.302163238431781</v>
      </c>
      <c r="U35" s="74">
        <f t="shared" si="16"/>
        <v>2.5641782445999555</v>
      </c>
      <c r="V35" s="102">
        <f t="shared" si="17"/>
        <v>-0.8663414830317375</v>
      </c>
      <c r="W35" s="104">
        <f t="shared" si="18"/>
        <v>-12.710191385932085</v>
      </c>
      <c r="X35" s="78"/>
      <c r="Y35" s="74">
        <f t="shared" si="19"/>
        <v>2.2295037120051053</v>
      </c>
      <c r="Z35" s="74">
        <f t="shared" si="20"/>
        <v>2.2295037120051053</v>
      </c>
      <c r="AA35" s="163">
        <f>ERF(AH35)+ERF(AI35)-1</f>
        <v>0.5778286226193337</v>
      </c>
      <c r="AB35" s="76">
        <f t="shared" si="21"/>
        <v>8</v>
      </c>
      <c r="AC35" s="195">
        <f t="shared" si="28"/>
        <v>10</v>
      </c>
      <c r="AD35" s="196">
        <f>ROUNDUP(E9,0)-0.1</f>
        <v>9.9</v>
      </c>
      <c r="AE35" s="209">
        <f t="shared" si="29"/>
        <v>0</v>
      </c>
      <c r="AF35" s="163">
        <f t="shared" si="22"/>
        <v>0.9423713824079728</v>
      </c>
      <c r="AG35" s="188">
        <f>IF(ABS(AF35)&lt;10,SIGN(AF35)*ERF(ABS(AF35)),SIGN(AF35))</f>
        <v>0.8173743831694662</v>
      </c>
      <c r="AH35" s="199">
        <f t="shared" si="23"/>
        <v>1.1991483258433877</v>
      </c>
      <c r="AI35" s="199">
        <f t="shared" si="24"/>
        <v>0.6855944389725578</v>
      </c>
    </row>
    <row r="36" spans="1:31" ht="15" customHeight="1">
      <c r="A36" s="2"/>
      <c r="B36" s="1"/>
      <c r="C36" s="1"/>
      <c r="D36" s="8"/>
      <c r="E36" s="1"/>
      <c r="F36" s="1"/>
      <c r="G36" s="2"/>
      <c r="H36" s="4"/>
      <c r="I36" s="4"/>
      <c r="J36" s="4"/>
      <c r="K36" s="4"/>
      <c r="L36" s="1"/>
      <c r="M36" s="4"/>
      <c r="N36" s="4"/>
      <c r="O36" s="4"/>
      <c r="P36" s="4"/>
      <c r="Q36" s="4"/>
      <c r="R36" s="55"/>
      <c r="S36" s="13"/>
      <c r="U36" s="13"/>
      <c r="V36" s="13"/>
      <c r="W36" s="14"/>
      <c r="AA36" s="5"/>
      <c r="AB36" s="6"/>
      <c r="AE36" s="210">
        <f>SUM(AE15:AE35)</f>
        <v>0.6879954905160712</v>
      </c>
    </row>
    <row r="37" spans="1:27" s="26" customFormat="1" ht="15" customHeight="1">
      <c r="A37" s="80" t="s">
        <v>69</v>
      </c>
      <c r="B37" s="22"/>
      <c r="C37" s="22"/>
      <c r="D37" s="21"/>
      <c r="E37" s="22"/>
      <c r="F37" s="22"/>
      <c r="G37" s="28"/>
      <c r="W37" s="31"/>
      <c r="X37" s="31"/>
      <c r="AA37" s="167"/>
    </row>
    <row r="38" spans="1:28" s="26" customFormat="1" ht="15" customHeight="1">
      <c r="A38" s="29" t="s">
        <v>120</v>
      </c>
      <c r="B38" s="22"/>
      <c r="C38" s="22"/>
      <c r="D38" s="21"/>
      <c r="E38" s="22"/>
      <c r="F38" s="22"/>
      <c r="G38" s="28"/>
      <c r="K38" s="23"/>
      <c r="L38" s="22"/>
      <c r="M38" s="23"/>
      <c r="N38" s="23"/>
      <c r="O38" s="23"/>
      <c r="P38" s="23"/>
      <c r="Q38" s="23"/>
      <c r="R38" s="59"/>
      <c r="S38" s="23"/>
      <c r="T38" s="30"/>
      <c r="U38" s="23"/>
      <c r="W38" s="31"/>
      <c r="X38" s="31"/>
      <c r="AA38" s="167"/>
      <c r="AB38" s="24"/>
    </row>
    <row r="39" spans="1:28" s="26" customFormat="1" ht="15" customHeight="1">
      <c r="A39" s="23"/>
      <c r="B39" s="168"/>
      <c r="C39" s="169"/>
      <c r="D39" s="169"/>
      <c r="E39" s="169"/>
      <c r="F39" s="169"/>
      <c r="G39" s="169"/>
      <c r="H39" s="169"/>
      <c r="I39" s="169"/>
      <c r="J39" s="169"/>
      <c r="K39" s="169"/>
      <c r="L39" s="22"/>
      <c r="M39" s="23"/>
      <c r="N39" s="23"/>
      <c r="O39" s="23"/>
      <c r="P39" s="23"/>
      <c r="Q39" s="23"/>
      <c r="R39" s="59"/>
      <c r="S39" s="23"/>
      <c r="T39" s="30"/>
      <c r="U39" s="23"/>
      <c r="W39" s="31"/>
      <c r="X39" s="31"/>
      <c r="AA39" s="167"/>
      <c r="AB39" s="24"/>
    </row>
    <row r="40" spans="1:28" s="26" customFormat="1" ht="15" customHeight="1">
      <c r="A40" s="29"/>
      <c r="B40" s="22"/>
      <c r="C40" s="22"/>
      <c r="D40" s="21"/>
      <c r="E40" s="22"/>
      <c r="F40" s="22"/>
      <c r="G40" s="28"/>
      <c r="H40" s="23"/>
      <c r="I40" s="23"/>
      <c r="J40" s="23"/>
      <c r="K40" s="23"/>
      <c r="L40" s="22"/>
      <c r="M40" s="23"/>
      <c r="N40" s="23"/>
      <c r="O40" s="23"/>
      <c r="P40" s="23"/>
      <c r="Q40" s="23"/>
      <c r="R40" s="59"/>
      <c r="S40" s="23"/>
      <c r="T40" s="30"/>
      <c r="U40" s="23"/>
      <c r="W40" s="31"/>
      <c r="X40" s="31"/>
      <c r="AA40" s="167"/>
      <c r="AB40" s="24"/>
    </row>
    <row r="41" spans="1:28" s="26" customFormat="1" ht="15" customHeight="1">
      <c r="A41" s="24"/>
      <c r="B41" s="22"/>
      <c r="C41" s="22"/>
      <c r="D41" s="21"/>
      <c r="E41" s="22"/>
      <c r="F41" s="22"/>
      <c r="G41" s="28"/>
      <c r="H41" s="23"/>
      <c r="I41" s="23"/>
      <c r="J41" s="23"/>
      <c r="K41" s="23"/>
      <c r="L41" s="22"/>
      <c r="M41" s="23"/>
      <c r="N41" s="23"/>
      <c r="O41" s="23"/>
      <c r="P41" s="23"/>
      <c r="Q41" s="23"/>
      <c r="R41" s="59"/>
      <c r="S41" s="23"/>
      <c r="T41" s="30"/>
      <c r="U41" s="23"/>
      <c r="W41" s="31"/>
      <c r="X41" s="31"/>
      <c r="AA41" s="167"/>
      <c r="AB41" s="24"/>
    </row>
    <row r="42" spans="1:28" s="26" customFormat="1" ht="15" customHeight="1">
      <c r="A42" s="24"/>
      <c r="B42" s="22"/>
      <c r="C42" s="22"/>
      <c r="D42" s="21"/>
      <c r="E42" s="22"/>
      <c r="F42" s="22"/>
      <c r="G42" s="28"/>
      <c r="H42" s="23"/>
      <c r="I42" s="23"/>
      <c r="J42" s="23"/>
      <c r="K42" s="23"/>
      <c r="L42" s="22"/>
      <c r="M42" s="23"/>
      <c r="N42" s="23"/>
      <c r="O42" s="23"/>
      <c r="P42" s="23"/>
      <c r="Q42" s="23"/>
      <c r="R42" s="59"/>
      <c r="S42" s="23"/>
      <c r="T42" s="30"/>
      <c r="U42" s="23"/>
      <c r="W42" s="31"/>
      <c r="X42" s="31"/>
      <c r="AA42" s="167"/>
      <c r="AB42" s="24"/>
    </row>
    <row r="43" spans="1:28" s="26" customFormat="1" ht="15" customHeight="1">
      <c r="A43" s="28"/>
      <c r="D43" s="21"/>
      <c r="E43" s="22"/>
      <c r="F43" s="22"/>
      <c r="G43" s="28"/>
      <c r="H43" s="23"/>
      <c r="I43" s="23"/>
      <c r="J43" s="23"/>
      <c r="K43" s="23"/>
      <c r="L43" s="22"/>
      <c r="M43" s="23"/>
      <c r="N43" s="23"/>
      <c r="O43" s="23"/>
      <c r="P43" s="23"/>
      <c r="Q43" s="23"/>
      <c r="R43" s="59"/>
      <c r="S43" s="23"/>
      <c r="T43" s="30"/>
      <c r="U43" s="23"/>
      <c r="W43" s="31"/>
      <c r="X43" s="31"/>
      <c r="AA43" s="167"/>
      <c r="AB43" s="24"/>
    </row>
    <row r="44" spans="1:28" s="26" customFormat="1" ht="15" customHeight="1">
      <c r="A44" s="28"/>
      <c r="B44" s="22"/>
      <c r="D44" s="21"/>
      <c r="E44" s="22"/>
      <c r="F44" s="22"/>
      <c r="G44" s="28"/>
      <c r="H44" s="23"/>
      <c r="I44" s="23"/>
      <c r="J44" s="23"/>
      <c r="K44" s="23"/>
      <c r="L44" s="22"/>
      <c r="M44" s="23"/>
      <c r="N44" s="23"/>
      <c r="O44" s="23"/>
      <c r="P44" s="23"/>
      <c r="Q44" s="23"/>
      <c r="R44" s="59"/>
      <c r="S44" s="23"/>
      <c r="T44" s="30"/>
      <c r="U44" s="23"/>
      <c r="W44" s="31"/>
      <c r="X44" s="31"/>
      <c r="AA44" s="167"/>
      <c r="AB44" s="24"/>
    </row>
    <row r="45" spans="1:28" s="26" customFormat="1" ht="15" customHeight="1">
      <c r="A45" s="28"/>
      <c r="B45" s="22"/>
      <c r="D45" s="21"/>
      <c r="E45" s="22"/>
      <c r="F45" s="22"/>
      <c r="G45" s="28"/>
      <c r="H45" s="23"/>
      <c r="I45" s="23"/>
      <c r="J45" s="23"/>
      <c r="K45" s="23"/>
      <c r="L45" s="22"/>
      <c r="M45" s="23"/>
      <c r="N45" s="23"/>
      <c r="O45" s="23"/>
      <c r="P45" s="23"/>
      <c r="Q45" s="23"/>
      <c r="R45" s="59"/>
      <c r="S45" s="23"/>
      <c r="T45" s="30"/>
      <c r="U45" s="23"/>
      <c r="W45" s="31"/>
      <c r="X45" s="31"/>
      <c r="AA45" s="167"/>
      <c r="AB45" s="24"/>
    </row>
    <row r="46" spans="1:28" ht="15" customHeight="1">
      <c r="A46" s="28"/>
      <c r="B46" s="22"/>
      <c r="D46" s="8"/>
      <c r="E46" s="1"/>
      <c r="F46" s="1"/>
      <c r="G46" s="2"/>
      <c r="H46" s="4"/>
      <c r="I46" s="4"/>
      <c r="J46" s="4"/>
      <c r="K46" s="4"/>
      <c r="L46" s="1"/>
      <c r="M46" s="4"/>
      <c r="N46" s="4"/>
      <c r="O46" s="4"/>
      <c r="P46" s="4"/>
      <c r="Q46" s="4"/>
      <c r="R46" s="55"/>
      <c r="S46" s="4"/>
      <c r="U46" s="4"/>
      <c r="AB46" s="6"/>
    </row>
    <row r="47" spans="1:28" ht="15" customHeight="1">
      <c r="A47" s="2"/>
      <c r="B47" s="22"/>
      <c r="C47" s="1"/>
      <c r="D47" s="8"/>
      <c r="E47" s="1"/>
      <c r="F47" s="1"/>
      <c r="G47" s="2"/>
      <c r="H47" s="4"/>
      <c r="I47" s="4"/>
      <c r="J47" s="4"/>
      <c r="K47" s="4"/>
      <c r="L47" s="1"/>
      <c r="M47" s="4"/>
      <c r="N47" s="1"/>
      <c r="O47" s="1"/>
      <c r="P47" s="1"/>
      <c r="Q47" s="4"/>
      <c r="R47" s="55"/>
      <c r="S47" s="4"/>
      <c r="U47" s="4"/>
      <c r="AB47" s="6"/>
    </row>
    <row r="48" spans="1:28" ht="15" customHeight="1">
      <c r="A48" s="2"/>
      <c r="B48" s="22"/>
      <c r="C48" s="1"/>
      <c r="D48" s="8"/>
      <c r="E48" s="1"/>
      <c r="F48" s="1"/>
      <c r="G48" s="2"/>
      <c r="H48" s="4"/>
      <c r="I48" s="4"/>
      <c r="J48" s="4"/>
      <c r="K48" s="4"/>
      <c r="L48" s="1"/>
      <c r="M48" s="4"/>
      <c r="N48" s="1"/>
      <c r="O48" s="1"/>
      <c r="P48" s="1"/>
      <c r="Q48" s="1"/>
      <c r="R48" s="60"/>
      <c r="S48" s="4"/>
      <c r="U48" s="4"/>
      <c r="AB48" s="6"/>
    </row>
    <row r="49" spans="1:28" ht="15" customHeight="1">
      <c r="A49" s="24"/>
      <c r="B49" s="22"/>
      <c r="C49" s="1"/>
      <c r="D49" s="8"/>
      <c r="E49" s="1"/>
      <c r="F49" s="1"/>
      <c r="G49" s="2"/>
      <c r="H49" s="4"/>
      <c r="I49" s="4"/>
      <c r="J49" s="4"/>
      <c r="K49" s="4"/>
      <c r="L49" s="1"/>
      <c r="M49" s="4"/>
      <c r="N49" s="1"/>
      <c r="O49" s="1"/>
      <c r="P49" s="1"/>
      <c r="Q49" s="4"/>
      <c r="R49" s="55"/>
      <c r="S49" s="4"/>
      <c r="U49" s="4"/>
      <c r="AB49" s="6"/>
    </row>
    <row r="50" spans="1:16" ht="15" customHeight="1">
      <c r="A50" s="15"/>
      <c r="B50" s="148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4"/>
      <c r="O50" s="4"/>
      <c r="P50" s="4"/>
    </row>
    <row r="51" spans="1:16" ht="15" customHeight="1">
      <c r="A51" s="24"/>
      <c r="B51" s="148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4"/>
      <c r="O51" s="4"/>
      <c r="P51" s="4"/>
    </row>
    <row r="52" spans="1:16" ht="15" customHeight="1">
      <c r="A52" s="15"/>
      <c r="B52" s="148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4"/>
      <c r="O52" s="4"/>
      <c r="P52" s="4"/>
    </row>
    <row r="53" spans="1:16" ht="1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4"/>
      <c r="O53" s="4"/>
      <c r="P53" s="4"/>
    </row>
    <row r="54" spans="1:16" ht="1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4"/>
      <c r="O54" s="4"/>
      <c r="P54" s="4"/>
    </row>
    <row r="55" spans="1:16" ht="1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4"/>
      <c r="O55" s="4"/>
      <c r="P55" s="4"/>
    </row>
    <row r="56" spans="1:16" ht="1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4"/>
      <c r="O56" s="4"/>
      <c r="P56" s="4"/>
    </row>
    <row r="57" spans="1:16" ht="1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4"/>
      <c r="O57" s="4"/>
      <c r="P57" s="4"/>
    </row>
    <row r="58" spans="1:16" ht="1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4"/>
      <c r="O58" s="4"/>
      <c r="P58" s="4"/>
    </row>
    <row r="59" spans="1:16" ht="1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4"/>
      <c r="O59" s="4"/>
      <c r="P59" s="4"/>
    </row>
    <row r="60" spans="1:16" ht="1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4"/>
      <c r="O60" s="4"/>
      <c r="P60" s="4"/>
    </row>
    <row r="61" spans="1:16" ht="1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4"/>
      <c r="O61" s="4"/>
      <c r="P61" s="4"/>
    </row>
    <row r="62" spans="1:16" ht="1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4"/>
      <c r="O62" s="4"/>
      <c r="P62" s="4"/>
    </row>
    <row r="63" spans="1:16" ht="1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4"/>
      <c r="O63" s="4"/>
      <c r="P63" s="4"/>
    </row>
    <row r="64" spans="1:16" ht="1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4"/>
      <c r="O64" s="4"/>
      <c r="P64" s="4"/>
    </row>
    <row r="65" spans="1:16" ht="1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4"/>
      <c r="O65" s="4"/>
      <c r="P65" s="4"/>
    </row>
    <row r="66" spans="1:16" ht="15" customHeight="1">
      <c r="A66" s="2"/>
      <c r="B66" s="1"/>
      <c r="C66" s="1"/>
      <c r="D66" s="8"/>
      <c r="E66" s="1"/>
      <c r="F66" s="1"/>
      <c r="G66" s="2"/>
      <c r="H66" s="4"/>
      <c r="I66" s="4"/>
      <c r="J66" s="4"/>
      <c r="K66" s="4"/>
      <c r="L66" s="1"/>
      <c r="M66" s="4"/>
      <c r="N66" s="4"/>
      <c r="O66" s="4"/>
      <c r="P66" s="4"/>
    </row>
    <row r="67" spans="1:16" ht="15" customHeight="1">
      <c r="A67" s="2"/>
      <c r="B67" s="1"/>
      <c r="C67" s="1"/>
      <c r="D67" s="8"/>
      <c r="E67" s="1"/>
      <c r="F67" s="1"/>
      <c r="G67" s="2"/>
      <c r="H67" s="4"/>
      <c r="I67" s="4"/>
      <c r="J67" s="4"/>
      <c r="K67" s="4"/>
      <c r="L67" s="1"/>
      <c r="M67" s="4"/>
      <c r="N67" s="4"/>
      <c r="O67" s="4"/>
      <c r="P67" s="4"/>
    </row>
    <row r="68" spans="1:16" ht="15" customHeight="1">
      <c r="A68" s="2"/>
      <c r="B68" s="1"/>
      <c r="C68" s="1"/>
      <c r="D68" s="8"/>
      <c r="E68" s="1"/>
      <c r="F68" s="1"/>
      <c r="G68" s="2"/>
      <c r="H68" s="4"/>
      <c r="I68" s="4"/>
      <c r="J68" s="4"/>
      <c r="K68" s="4"/>
      <c r="L68" s="1"/>
      <c r="M68" s="4"/>
      <c r="N68" s="4"/>
      <c r="O68" s="4"/>
      <c r="P68" s="4"/>
    </row>
    <row r="69" spans="1:16" ht="15" customHeight="1">
      <c r="A69" s="2"/>
      <c r="B69" s="1"/>
      <c r="C69" s="1"/>
      <c r="D69" s="8"/>
      <c r="E69" s="1"/>
      <c r="F69" s="1"/>
      <c r="G69" s="2"/>
      <c r="H69" s="4"/>
      <c r="I69" s="4"/>
      <c r="J69" s="4"/>
      <c r="K69" s="4"/>
      <c r="L69" s="1"/>
      <c r="M69" s="4"/>
      <c r="N69" s="4"/>
      <c r="O69" s="4"/>
      <c r="P69" s="4"/>
    </row>
    <row r="70" spans="1:16" ht="15" customHeight="1">
      <c r="A70" s="2"/>
      <c r="B70" s="1"/>
      <c r="C70" s="1"/>
      <c r="D70" s="8"/>
      <c r="E70" s="1"/>
      <c r="F70" s="1"/>
      <c r="G70" s="2"/>
      <c r="H70" s="4"/>
      <c r="I70" s="4"/>
      <c r="J70" s="4"/>
      <c r="K70" s="4"/>
      <c r="L70" s="1"/>
      <c r="M70" s="4"/>
      <c r="N70" s="4"/>
      <c r="O70" s="4"/>
      <c r="P70" s="4"/>
    </row>
    <row r="71" spans="1:16" ht="15" customHeight="1">
      <c r="A71" s="3"/>
      <c r="B71" s="4"/>
      <c r="C71" s="2"/>
      <c r="D71" s="8"/>
      <c r="E71" s="1"/>
      <c r="F71" s="1"/>
      <c r="G71" s="2"/>
      <c r="H71" s="4"/>
      <c r="I71" s="4"/>
      <c r="J71" s="4"/>
      <c r="K71" s="4"/>
      <c r="L71" s="1"/>
      <c r="M71" s="1"/>
      <c r="N71" s="1"/>
      <c r="O71" s="1"/>
      <c r="P71" s="1"/>
    </row>
    <row r="72" spans="1:16" ht="15" customHeight="1">
      <c r="A72" s="6"/>
      <c r="B72" s="1"/>
      <c r="C72" s="9"/>
      <c r="D72" s="8"/>
      <c r="E72" s="1"/>
      <c r="F72" s="1"/>
      <c r="G72" s="2"/>
      <c r="H72" s="4"/>
      <c r="I72" s="4"/>
      <c r="J72" s="4"/>
      <c r="K72" s="1"/>
      <c r="L72" s="1"/>
      <c r="M72" s="1"/>
      <c r="N72" s="1"/>
      <c r="O72" s="1"/>
      <c r="P72" s="1"/>
    </row>
    <row r="73" spans="1:16" ht="15" customHeight="1">
      <c r="A73" s="4"/>
      <c r="B73" s="4"/>
      <c r="C73" s="4"/>
      <c r="D73" s="8"/>
      <c r="E73" s="1"/>
      <c r="F73" s="1"/>
      <c r="G73" s="2"/>
      <c r="H73" s="4"/>
      <c r="I73" s="4"/>
      <c r="J73" s="4"/>
      <c r="K73" s="4"/>
      <c r="L73" s="1"/>
      <c r="M73" s="1"/>
      <c r="N73" s="1"/>
      <c r="O73" s="1"/>
      <c r="P73" s="1"/>
    </row>
    <row r="74" spans="1:16" ht="15" customHeight="1">
      <c r="A74" s="16"/>
      <c r="B74" s="3"/>
      <c r="C74" s="3"/>
      <c r="D74" s="8"/>
      <c r="E74" s="1"/>
      <c r="F74" s="1"/>
      <c r="G74" s="2"/>
      <c r="H74" s="4"/>
      <c r="I74" s="4"/>
      <c r="J74" s="4"/>
      <c r="K74" s="1"/>
      <c r="L74" s="8"/>
      <c r="M74" s="1"/>
      <c r="N74" s="1"/>
      <c r="O74" s="1"/>
      <c r="P74" s="1"/>
    </row>
    <row r="75" spans="1:16" ht="15" customHeight="1">
      <c r="A75" s="11"/>
      <c r="B75" s="3"/>
      <c r="C75" s="3"/>
      <c r="D75" s="8"/>
      <c r="E75" s="1"/>
      <c r="F75" s="1"/>
      <c r="G75" s="2"/>
      <c r="H75" s="4"/>
      <c r="I75" s="4"/>
      <c r="J75" s="4"/>
      <c r="K75" s="4"/>
      <c r="L75" s="1"/>
      <c r="M75" s="1"/>
      <c r="N75" s="1"/>
      <c r="O75" s="1"/>
      <c r="P75" s="1"/>
    </row>
    <row r="76" spans="1:16" ht="15" customHeight="1">
      <c r="A76" s="11"/>
      <c r="B76" s="3"/>
      <c r="C76" s="3"/>
      <c r="D76" s="8"/>
      <c r="E76" s="1"/>
      <c r="F76" s="1"/>
      <c r="G76" s="2"/>
      <c r="H76" s="4"/>
      <c r="I76" s="4"/>
      <c r="J76" s="4"/>
      <c r="K76" s="4"/>
      <c r="L76" s="1"/>
      <c r="M76" s="1"/>
      <c r="N76" s="1"/>
      <c r="O76" s="1"/>
      <c r="P76" s="1"/>
    </row>
    <row r="77" spans="1:16" ht="15" customHeight="1">
      <c r="A77" s="11"/>
      <c r="B77" s="3"/>
      <c r="C77" s="3"/>
      <c r="D77" s="8"/>
      <c r="E77" s="1"/>
      <c r="F77" s="1"/>
      <c r="G77" s="2"/>
      <c r="H77" s="4"/>
      <c r="I77" s="4"/>
      <c r="J77" s="4"/>
      <c r="K77" s="4"/>
      <c r="L77" s="1"/>
      <c r="M77" s="1"/>
      <c r="N77" s="1"/>
      <c r="O77" s="1"/>
      <c r="P77" s="1"/>
    </row>
    <row r="78" spans="1:16" ht="15" customHeight="1">
      <c r="A78" s="11"/>
      <c r="B78" s="3"/>
      <c r="C78" s="3"/>
      <c r="D78" s="8"/>
      <c r="E78" s="1"/>
      <c r="F78" s="1"/>
      <c r="G78" s="2"/>
      <c r="H78" s="4"/>
      <c r="I78" s="4"/>
      <c r="J78" s="4"/>
      <c r="K78" s="4"/>
      <c r="L78" s="1"/>
      <c r="M78" s="1"/>
      <c r="N78" s="1"/>
      <c r="O78" s="1"/>
      <c r="P78" s="1"/>
    </row>
    <row r="79" spans="1:16" ht="15" customHeight="1">
      <c r="A79" s="11"/>
      <c r="B79" s="3"/>
      <c r="C79" s="3"/>
      <c r="D79" s="8"/>
      <c r="E79" s="1"/>
      <c r="F79" s="1"/>
      <c r="G79" s="2"/>
      <c r="H79" s="4"/>
      <c r="I79" s="4"/>
      <c r="J79" s="4"/>
      <c r="K79" s="4"/>
      <c r="L79" s="1"/>
      <c r="M79" s="1"/>
      <c r="N79" s="1"/>
      <c r="O79" s="1"/>
      <c r="P79" s="1"/>
    </row>
    <row r="80" spans="1:16" ht="15" customHeight="1">
      <c r="A80" s="11"/>
      <c r="B80" s="3"/>
      <c r="C80" s="3"/>
      <c r="D80" s="8"/>
      <c r="E80" s="1"/>
      <c r="F80" s="1"/>
      <c r="G80" s="2"/>
      <c r="H80" s="4"/>
      <c r="I80" s="4"/>
      <c r="J80" s="4"/>
      <c r="K80" s="4"/>
      <c r="L80" s="1"/>
      <c r="M80" s="1"/>
      <c r="N80" s="1"/>
      <c r="O80" s="1"/>
      <c r="P80" s="1"/>
    </row>
    <row r="81" spans="1:16" ht="15" customHeight="1">
      <c r="A81" s="11"/>
      <c r="B81" s="3"/>
      <c r="C81" s="3"/>
      <c r="D81" s="8"/>
      <c r="E81" s="1"/>
      <c r="F81" s="1"/>
      <c r="G81" s="2"/>
      <c r="H81" s="4"/>
      <c r="I81" s="4"/>
      <c r="J81" s="4"/>
      <c r="K81" s="4"/>
      <c r="L81" s="1"/>
      <c r="M81" s="1"/>
      <c r="N81" s="1"/>
      <c r="O81" s="1"/>
      <c r="P81" s="1"/>
    </row>
    <row r="82" spans="1:16" ht="15" customHeight="1">
      <c r="A82" s="11"/>
      <c r="B82" s="3"/>
      <c r="C82" s="3"/>
      <c r="D82" s="8"/>
      <c r="E82" s="1"/>
      <c r="F82" s="1"/>
      <c r="G82" s="2"/>
      <c r="H82" s="4"/>
      <c r="I82" s="4"/>
      <c r="J82" s="4"/>
      <c r="K82" s="4"/>
      <c r="L82" s="1"/>
      <c r="M82" s="1"/>
      <c r="N82" s="1"/>
      <c r="O82" s="1"/>
      <c r="P82" s="1"/>
    </row>
    <row r="83" spans="1:16" ht="15" customHeight="1">
      <c r="A83" s="11"/>
      <c r="B83" s="3"/>
      <c r="C83" s="3"/>
      <c r="D83" s="8"/>
      <c r="E83" s="1"/>
      <c r="F83" s="1"/>
      <c r="G83" s="2"/>
      <c r="H83" s="4"/>
      <c r="I83" s="4"/>
      <c r="J83" s="4"/>
      <c r="K83" s="4"/>
      <c r="L83" s="1"/>
      <c r="M83" s="1"/>
      <c r="N83" s="1"/>
      <c r="O83" s="1"/>
      <c r="P83" s="1"/>
    </row>
    <row r="84" spans="1:16" ht="15" customHeight="1">
      <c r="A84" s="11"/>
      <c r="B84" s="3"/>
      <c r="C84" s="3"/>
      <c r="D84" s="8"/>
      <c r="E84" s="1"/>
      <c r="F84" s="1"/>
      <c r="G84" s="2"/>
      <c r="H84" s="4"/>
      <c r="I84" s="4"/>
      <c r="J84" s="4"/>
      <c r="K84" s="4"/>
      <c r="L84" s="1"/>
      <c r="M84" s="1"/>
      <c r="N84" s="1"/>
      <c r="O84" s="1"/>
      <c r="P84" s="1"/>
    </row>
    <row r="85" spans="1:16" ht="15" customHeight="1">
      <c r="A85" s="2"/>
      <c r="B85" s="1"/>
      <c r="C85" s="1"/>
      <c r="D85" s="8"/>
      <c r="E85" s="1"/>
      <c r="F85" s="1"/>
      <c r="G85" s="2"/>
      <c r="H85" s="4"/>
      <c r="I85" s="4"/>
      <c r="J85" s="4"/>
      <c r="K85" s="4"/>
      <c r="L85" s="1"/>
      <c r="M85" s="17"/>
      <c r="N85" s="4"/>
      <c r="O85" s="4"/>
      <c r="P85" s="4"/>
    </row>
    <row r="86" spans="1:16" ht="15" customHeight="1">
      <c r="A86" s="2"/>
      <c r="B86" s="1"/>
      <c r="C86" s="1"/>
      <c r="D86" s="8"/>
      <c r="E86" s="1"/>
      <c r="F86" s="1"/>
      <c r="G86" s="2"/>
      <c r="H86" s="4"/>
      <c r="I86" s="4"/>
      <c r="J86" s="4"/>
      <c r="K86" s="4"/>
      <c r="L86" s="1"/>
      <c r="M86" s="17"/>
      <c r="N86" s="4"/>
      <c r="O86" s="4"/>
      <c r="P86" s="4"/>
    </row>
    <row r="87" spans="1:16" ht="15" customHeight="1">
      <c r="A87" s="2"/>
      <c r="B87" s="1"/>
      <c r="C87" s="1"/>
      <c r="D87" s="8"/>
      <c r="E87" s="1"/>
      <c r="F87" s="1"/>
      <c r="G87" s="2"/>
      <c r="H87" s="4"/>
      <c r="I87" s="4"/>
      <c r="J87" s="4"/>
      <c r="K87" s="4"/>
      <c r="L87" s="1"/>
      <c r="M87" s="4"/>
      <c r="N87" s="4"/>
      <c r="O87" s="4"/>
      <c r="P87" s="4"/>
    </row>
    <row r="88" spans="1:16" ht="15" customHeight="1">
      <c r="A88" s="2"/>
      <c r="B88" s="1"/>
      <c r="C88" s="1"/>
      <c r="D88" s="8"/>
      <c r="E88" s="1"/>
      <c r="F88" s="1"/>
      <c r="G88" s="2"/>
      <c r="H88" s="4"/>
      <c r="I88" s="4"/>
      <c r="J88" s="4"/>
      <c r="K88" s="4"/>
      <c r="L88" s="1"/>
      <c r="M88" s="4"/>
      <c r="N88" s="4"/>
      <c r="O88" s="4"/>
      <c r="P88" s="4"/>
    </row>
    <row r="89" spans="1:16" ht="15" customHeight="1">
      <c r="A89" s="2"/>
      <c r="B89" s="1"/>
      <c r="C89" s="1"/>
      <c r="D89" s="8"/>
      <c r="E89" s="1"/>
      <c r="F89" s="1"/>
      <c r="G89" s="2"/>
      <c r="H89" s="4"/>
      <c r="I89" s="4"/>
      <c r="J89" s="4"/>
      <c r="K89" s="4"/>
      <c r="L89" s="1"/>
      <c r="M89" s="4"/>
      <c r="N89" s="4"/>
      <c r="O89" s="4"/>
      <c r="P89" s="4"/>
    </row>
    <row r="90" spans="1:16" ht="15" customHeight="1">
      <c r="A90" s="2"/>
      <c r="B90" s="1"/>
      <c r="C90" s="1"/>
      <c r="D90" s="8"/>
      <c r="E90" s="1"/>
      <c r="F90" s="1"/>
      <c r="G90" s="2"/>
      <c r="H90" s="4"/>
      <c r="I90" s="4"/>
      <c r="J90" s="4"/>
      <c r="K90" s="4"/>
      <c r="L90" s="1"/>
      <c r="M90" s="4"/>
      <c r="N90" s="4"/>
      <c r="O90" s="4"/>
      <c r="P90" s="4"/>
    </row>
    <row r="91" spans="1:16" ht="15" customHeight="1">
      <c r="A91" s="2"/>
      <c r="B91" s="1"/>
      <c r="C91" s="1"/>
      <c r="D91" s="8"/>
      <c r="E91" s="1"/>
      <c r="F91" s="1"/>
      <c r="G91" s="2"/>
      <c r="H91" s="4"/>
      <c r="I91" s="4"/>
      <c r="J91" s="4"/>
      <c r="K91" s="4"/>
      <c r="L91" s="1"/>
      <c r="M91" s="4"/>
      <c r="N91" s="4"/>
      <c r="O91" s="4"/>
      <c r="P91" s="4"/>
    </row>
    <row r="92" spans="1:16" ht="15" customHeight="1">
      <c r="A92" s="2"/>
      <c r="B92" s="1"/>
      <c r="C92" s="1"/>
      <c r="D92" s="8"/>
      <c r="E92" s="1"/>
      <c r="F92" s="1"/>
      <c r="G92" s="2"/>
      <c r="H92" s="4"/>
      <c r="I92" s="4"/>
      <c r="J92" s="4"/>
      <c r="K92" s="4"/>
      <c r="L92" s="1"/>
      <c r="M92" s="4"/>
      <c r="N92" s="4"/>
      <c r="O92" s="4"/>
      <c r="P92" s="4"/>
    </row>
    <row r="93" spans="1:16" ht="15" customHeight="1">
      <c r="A93" s="2"/>
      <c r="B93" s="1"/>
      <c r="C93" s="1"/>
      <c r="D93" s="8"/>
      <c r="E93" s="1"/>
      <c r="F93" s="1"/>
      <c r="G93" s="2"/>
      <c r="H93" s="4"/>
      <c r="I93" s="4"/>
      <c r="J93" s="4"/>
      <c r="K93" s="4"/>
      <c r="L93" s="1"/>
      <c r="M93" s="4"/>
      <c r="N93" s="4"/>
      <c r="O93" s="4"/>
      <c r="P93" s="4"/>
    </row>
    <row r="94" spans="1:16" ht="15" customHeight="1">
      <c r="A94" s="2"/>
      <c r="B94" s="1"/>
      <c r="C94" s="1"/>
      <c r="D94" s="8"/>
      <c r="E94" s="1"/>
      <c r="F94" s="1"/>
      <c r="G94" s="2"/>
      <c r="H94" s="4"/>
      <c r="I94" s="4"/>
      <c r="J94" s="4"/>
      <c r="K94" s="4"/>
      <c r="L94" s="1"/>
      <c r="M94" s="4"/>
      <c r="N94" s="4"/>
      <c r="O94" s="4"/>
      <c r="P94" s="4"/>
    </row>
    <row r="95" spans="1:16" ht="15" customHeight="1">
      <c r="A95" s="2"/>
      <c r="B95" s="1"/>
      <c r="C95" s="1"/>
      <c r="D95" s="8"/>
      <c r="E95" s="1"/>
      <c r="F95" s="1"/>
      <c r="G95" s="2"/>
      <c r="H95" s="4"/>
      <c r="I95" s="4"/>
      <c r="J95" s="4"/>
      <c r="K95" s="4"/>
      <c r="L95" s="1"/>
      <c r="M95" s="4"/>
      <c r="N95" s="4"/>
      <c r="O95" s="4"/>
      <c r="P95" s="4"/>
    </row>
    <row r="96" spans="1:16" ht="15" customHeight="1">
      <c r="A96" s="2"/>
      <c r="B96" s="1"/>
      <c r="C96" s="1"/>
      <c r="D96" s="8"/>
      <c r="E96" s="1"/>
      <c r="F96" s="1"/>
      <c r="G96" s="2"/>
      <c r="H96" s="4"/>
      <c r="I96" s="4"/>
      <c r="J96" s="4"/>
      <c r="K96" s="4"/>
      <c r="L96" s="1"/>
      <c r="M96" s="4"/>
      <c r="N96" s="4"/>
      <c r="O96" s="4"/>
      <c r="P96" s="4"/>
    </row>
    <row r="97" spans="1:16" ht="15" customHeight="1">
      <c r="A97" s="2"/>
      <c r="B97" s="1"/>
      <c r="C97" s="1"/>
      <c r="D97" s="8"/>
      <c r="E97" s="1"/>
      <c r="F97" s="1"/>
      <c r="G97" s="2"/>
      <c r="H97" s="4"/>
      <c r="I97" s="4"/>
      <c r="J97" s="4"/>
      <c r="K97" s="4"/>
      <c r="L97" s="1"/>
      <c r="M97" s="4"/>
      <c r="N97" s="4"/>
      <c r="O97" s="4"/>
      <c r="P97" s="4"/>
    </row>
  </sheetData>
  <mergeCells count="1">
    <mergeCell ref="P1:Q1"/>
  </mergeCells>
  <printOptions horizontalCentered="1"/>
  <pageMargins left="0.5" right="0.5" top="0.5" bottom="0.6" header="0.3" footer="0.4"/>
  <pageSetup fitToHeight="1" fitToWidth="1" horizontalDpi="600" verticalDpi="600" orientation="landscape" scale="69" r:id="rId2"/>
  <headerFooter alignWithMargins="0">
    <oddHeader xml:space="preserve">&amp;CSpreadsheet by Agilent Technologies&amp;R </oddHeader>
    <oddFooter>&amp;L&amp;F tab &amp;A page &amp;P of &amp;N&amp;RPrinted &amp;T 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7"/>
  <sheetViews>
    <sheetView showGridLines="0" showOutlineSymbols="0" zoomScale="70" zoomScaleNormal="70" workbookViewId="0" topLeftCell="A1">
      <selection activeCell="A3" sqref="A3"/>
    </sheetView>
  </sheetViews>
  <sheetFormatPr defaultColWidth="9.140625" defaultRowHeight="12.75"/>
  <cols>
    <col min="1" max="1" width="10.7109375" style="5" customWidth="1"/>
    <col min="2" max="3" width="10.8515625" style="5" customWidth="1"/>
    <col min="4" max="4" width="9.7109375" style="5" customWidth="1"/>
    <col min="5" max="5" width="10.7109375" style="5" customWidth="1"/>
    <col min="6" max="6" width="6.57421875" style="5" customWidth="1"/>
    <col min="7" max="8" width="6.7109375" style="5" customWidth="1"/>
    <col min="9" max="9" width="7.28125" style="5" customWidth="1"/>
    <col min="10" max="10" width="7.7109375" style="5" customWidth="1"/>
    <col min="11" max="11" width="7.28125" style="5" customWidth="1"/>
    <col min="12" max="12" width="6.57421875" style="5" customWidth="1"/>
    <col min="13" max="14" width="6.28125" style="5" customWidth="1"/>
    <col min="15" max="17" width="7.7109375" style="5" customWidth="1"/>
    <col min="18" max="18" width="8.421875" style="56" customWidth="1"/>
    <col min="19" max="19" width="6.57421875" style="5" customWidth="1"/>
    <col min="20" max="20" width="7.28125" style="7" customWidth="1"/>
    <col min="21" max="21" width="7.421875" style="5" customWidth="1"/>
    <col min="22" max="22" width="7.7109375" style="5" customWidth="1"/>
    <col min="23" max="23" width="11.140625" style="10" customWidth="1"/>
    <col min="24" max="24" width="8.8515625" style="10" customWidth="1"/>
    <col min="25" max="25" width="7.140625" style="5" customWidth="1"/>
    <col min="26" max="26" width="7.57421875" style="5" customWidth="1"/>
    <col min="27" max="27" width="10.00390625" style="5" customWidth="1"/>
    <col min="28" max="28" width="6.00390625" style="5" customWidth="1"/>
    <col min="29" max="29" width="7.00390625" style="5" customWidth="1"/>
    <col min="30" max="30" width="7.140625" style="5" customWidth="1"/>
    <col min="31" max="32" width="10.00390625" style="5" customWidth="1"/>
    <col min="33" max="16384" width="11.140625" style="5" customWidth="1"/>
  </cols>
  <sheetData>
    <row r="1" spans="1:32" s="133" customFormat="1" ht="15">
      <c r="A1" s="130" t="s">
        <v>121</v>
      </c>
      <c r="B1" s="113"/>
      <c r="C1" s="113"/>
      <c r="D1" s="113"/>
      <c r="E1" s="117"/>
      <c r="F1" s="117"/>
      <c r="G1" s="117"/>
      <c r="H1" s="117"/>
      <c r="I1" s="117"/>
      <c r="J1" s="117"/>
      <c r="K1" s="117"/>
      <c r="L1" s="131" t="s">
        <v>76</v>
      </c>
      <c r="M1" s="113" t="s">
        <v>111</v>
      </c>
      <c r="N1" s="117"/>
      <c r="O1" s="138" t="s">
        <v>60</v>
      </c>
      <c r="P1" s="260">
        <f>Notes!D17</f>
        <v>36714</v>
      </c>
      <c r="Q1" s="261"/>
      <c r="R1" s="224" t="s">
        <v>1</v>
      </c>
      <c r="S1" s="230"/>
      <c r="T1" s="234" t="s">
        <v>145</v>
      </c>
      <c r="U1" s="230" t="str">
        <f>Notes!A1</f>
        <v>5pmd047.xls</v>
      </c>
      <c r="V1" s="223"/>
      <c r="W1" s="231">
        <f>Notes!D1</f>
        <v>36714</v>
      </c>
      <c r="Z1" s="51"/>
      <c r="AA1" s="51"/>
      <c r="AB1" s="226"/>
      <c r="AC1" s="51"/>
      <c r="AD1" s="51"/>
      <c r="AE1" s="51"/>
      <c r="AF1" s="51"/>
    </row>
    <row r="2" spans="1:32" ht="15.75">
      <c r="A2" s="62" t="s">
        <v>2</v>
      </c>
      <c r="B2" s="121" t="s">
        <v>3</v>
      </c>
      <c r="C2" s="73"/>
      <c r="D2" s="65"/>
      <c r="E2" s="73"/>
      <c r="F2" s="73"/>
      <c r="G2" s="62"/>
      <c r="H2" s="61"/>
      <c r="I2" s="65" t="s">
        <v>104</v>
      </c>
      <c r="J2" s="137">
        <v>40</v>
      </c>
      <c r="K2" s="61" t="s">
        <v>105</v>
      </c>
      <c r="L2" s="61"/>
      <c r="M2" s="73"/>
      <c r="N2" s="61"/>
      <c r="O2" s="62" t="s">
        <v>110</v>
      </c>
      <c r="P2" s="146">
        <f>1000000/$P$6</f>
        <v>88.96969696969697</v>
      </c>
      <c r="Q2" s="61" t="s">
        <v>99</v>
      </c>
      <c r="R2" s="250" t="str">
        <f>Notes!G17</f>
        <v>2.3.5</v>
      </c>
      <c r="S2" s="46"/>
      <c r="T2" s="235"/>
      <c r="U2" s="46"/>
      <c r="V2" s="232" t="s">
        <v>1</v>
      </c>
      <c r="W2" s="233" t="str">
        <f>Notes!F1</f>
        <v>0.4.7</v>
      </c>
      <c r="X2" s="6"/>
      <c r="Y2" s="1"/>
      <c r="Z2" s="1"/>
      <c r="AA2" s="1"/>
      <c r="AB2" s="66"/>
      <c r="AC2" s="1"/>
      <c r="AD2" s="1"/>
      <c r="AE2" s="1"/>
      <c r="AF2" s="1"/>
    </row>
    <row r="3" spans="1:32" ht="15" customHeight="1">
      <c r="A3" s="73"/>
      <c r="B3" s="73"/>
      <c r="C3" s="73"/>
      <c r="D3" s="65" t="s">
        <v>5</v>
      </c>
      <c r="E3" s="152">
        <v>1000000</v>
      </c>
      <c r="F3" s="61"/>
      <c r="G3" s="61"/>
      <c r="H3" s="73"/>
      <c r="I3" s="62" t="s">
        <v>107</v>
      </c>
      <c r="J3" s="120">
        <v>30</v>
      </c>
      <c r="K3" s="73" t="s">
        <v>105</v>
      </c>
      <c r="L3" s="61"/>
      <c r="M3" s="73"/>
      <c r="N3" s="61"/>
      <c r="O3" s="62" t="s">
        <v>4</v>
      </c>
      <c r="P3" s="49">
        <f>IF($B$4&gt;1000,$E$6/1.5,$E$6/3.5)</f>
        <v>0.23740000000000003</v>
      </c>
      <c r="Q3" s="61"/>
      <c r="R3" s="81"/>
      <c r="S3" s="85"/>
      <c r="T3" s="82"/>
      <c r="U3" s="67"/>
      <c r="V3" s="73"/>
      <c r="W3" s="66"/>
      <c r="X3" s="6"/>
      <c r="Y3" s="1"/>
      <c r="Z3" s="1"/>
      <c r="AA3" s="1"/>
      <c r="AB3" s="84"/>
      <c r="AC3" s="1"/>
      <c r="AD3" s="1"/>
      <c r="AE3" s="1"/>
      <c r="AF3" s="1"/>
    </row>
    <row r="4" spans="1:32" ht="15" customHeight="1">
      <c r="A4" s="62" t="s">
        <v>55</v>
      </c>
      <c r="B4" s="86">
        <v>1565</v>
      </c>
      <c r="C4" s="73"/>
      <c r="D4" s="65" t="s">
        <v>9</v>
      </c>
      <c r="E4" s="83">
        <v>0.093</v>
      </c>
      <c r="F4" s="61"/>
      <c r="G4" s="61"/>
      <c r="H4" s="73"/>
      <c r="I4" s="62" t="s">
        <v>108</v>
      </c>
      <c r="J4" s="219">
        <v>1</v>
      </c>
      <c r="K4" s="61" t="s">
        <v>105</v>
      </c>
      <c r="L4" s="61"/>
      <c r="M4" s="61"/>
      <c r="N4" s="61"/>
      <c r="O4" s="62" t="s">
        <v>6</v>
      </c>
      <c r="P4" s="146">
        <f>B7*1.518</f>
        <v>50.094</v>
      </c>
      <c r="Q4" s="73" t="s">
        <v>99</v>
      </c>
      <c r="R4" s="87" t="s">
        <v>7</v>
      </c>
      <c r="S4" s="85"/>
      <c r="T4" s="82"/>
      <c r="U4" s="67"/>
      <c r="V4" s="73"/>
      <c r="W4" s="66"/>
      <c r="X4" s="6"/>
      <c r="Y4" s="1"/>
      <c r="Z4" s="1"/>
      <c r="AA4" s="1"/>
      <c r="AB4" s="85"/>
      <c r="AC4" s="1"/>
      <c r="AD4" s="1"/>
      <c r="AE4" s="1"/>
      <c r="AF4" s="1"/>
    </row>
    <row r="5" spans="1:32" ht="15" customHeight="1">
      <c r="A5" s="62" t="s">
        <v>8</v>
      </c>
      <c r="B5" s="221">
        <v>0.034</v>
      </c>
      <c r="C5" s="73"/>
      <c r="D5" s="65" t="s">
        <v>56</v>
      </c>
      <c r="E5" s="83">
        <v>1300</v>
      </c>
      <c r="F5" s="61"/>
      <c r="G5" s="61"/>
      <c r="H5" s="73"/>
      <c r="I5" s="62" t="s">
        <v>12</v>
      </c>
      <c r="J5" s="89">
        <v>480</v>
      </c>
      <c r="K5" s="61" t="s">
        <v>103</v>
      </c>
      <c r="L5" s="73"/>
      <c r="M5" s="67"/>
      <c r="N5" s="61"/>
      <c r="O5" s="62" t="s">
        <v>10</v>
      </c>
      <c r="P5" s="97">
        <v>0.7</v>
      </c>
      <c r="Q5" s="61"/>
      <c r="R5" s="87" t="s">
        <v>11</v>
      </c>
      <c r="S5" s="81"/>
      <c r="T5" s="82"/>
      <c r="U5" s="67"/>
      <c r="V5" s="73"/>
      <c r="W5" s="66"/>
      <c r="X5" s="6"/>
      <c r="Y5" s="1"/>
      <c r="Z5" s="1"/>
      <c r="AA5" s="1"/>
      <c r="AB5" s="85"/>
      <c r="AC5" s="1"/>
      <c r="AD5" s="1"/>
      <c r="AE5" s="1"/>
      <c r="AF5" s="1"/>
    </row>
    <row r="6" spans="1:32" ht="15" customHeight="1">
      <c r="A6" s="62" t="s">
        <v>74</v>
      </c>
      <c r="B6" s="83">
        <v>8</v>
      </c>
      <c r="C6" s="73" t="s">
        <v>63</v>
      </c>
      <c r="D6" s="65" t="s">
        <v>95</v>
      </c>
      <c r="E6" s="83">
        <v>0.3561</v>
      </c>
      <c r="F6" s="61" t="str">
        <f>"dB/km at "&amp;IF(B4&lt;1000,850,1300)&amp;" nm"</f>
        <v>dB/km at 1300 nm</v>
      </c>
      <c r="G6" s="61"/>
      <c r="H6" s="73"/>
      <c r="I6" s="62" t="s">
        <v>15</v>
      </c>
      <c r="J6" s="88">
        <v>7.037</v>
      </c>
      <c r="K6" s="61"/>
      <c r="L6" s="61"/>
      <c r="M6" s="67"/>
      <c r="N6" s="61"/>
      <c r="O6" s="65" t="s">
        <v>13</v>
      </c>
      <c r="P6" s="90">
        <f>(P7)</f>
        <v>11239.782016348774</v>
      </c>
      <c r="Q6" s="66"/>
      <c r="R6" s="85"/>
      <c r="S6" s="66" t="s">
        <v>47</v>
      </c>
      <c r="T6" s="52">
        <f>$E$9-$E$10</f>
        <v>17</v>
      </c>
      <c r="U6" s="246" t="s">
        <v>63</v>
      </c>
      <c r="V6" s="73"/>
      <c r="W6" s="66"/>
      <c r="Y6" s="175" t="s">
        <v>127</v>
      </c>
      <c r="Z6" s="176">
        <f>$Z$8*$P$2/(SQRT(8)*$T$9)</f>
        <v>1.8929899758366002</v>
      </c>
      <c r="AA6" s="177" t="s">
        <v>77</v>
      </c>
      <c r="AB6" s="61"/>
      <c r="AC6" s="1"/>
      <c r="AD6" s="1"/>
      <c r="AE6" s="1"/>
      <c r="AF6" s="1"/>
    </row>
    <row r="7" spans="1:32" ht="15" customHeight="1">
      <c r="A7" s="62" t="s">
        <v>14</v>
      </c>
      <c r="B7" s="83">
        <v>33</v>
      </c>
      <c r="C7" s="73" t="s">
        <v>99</v>
      </c>
      <c r="D7" s="62" t="s">
        <v>96</v>
      </c>
      <c r="E7" s="155">
        <v>10312.5</v>
      </c>
      <c r="F7" s="73" t="s">
        <v>101</v>
      </c>
      <c r="G7" s="67"/>
      <c r="H7" s="67"/>
      <c r="I7" s="65" t="s">
        <v>100</v>
      </c>
      <c r="J7" s="154">
        <f>2.5*10^5/$E$7</f>
        <v>24.242424242424242</v>
      </c>
      <c r="K7" s="67" t="s">
        <v>99</v>
      </c>
      <c r="L7" s="61"/>
      <c r="M7" s="67"/>
      <c r="N7" s="61"/>
      <c r="O7" s="65" t="s">
        <v>16</v>
      </c>
      <c r="P7" s="91">
        <f>1/((1/$E$7)-$J$8*10^-6)</f>
        <v>11239.782016348774</v>
      </c>
      <c r="Q7" s="66"/>
      <c r="R7" s="85"/>
      <c r="S7" s="93" t="s">
        <v>33</v>
      </c>
      <c r="T7" s="118">
        <f>AE36</f>
        <v>1.6369530770986298</v>
      </c>
      <c r="U7" s="94" t="str">
        <f>"dB at target "&amp;J2&amp;" km"</f>
        <v>dB at target 40 km</v>
      </c>
      <c r="V7" s="73"/>
      <c r="W7" s="122"/>
      <c r="Y7" s="175" t="s">
        <v>128</v>
      </c>
      <c r="Z7" s="178">
        <f>IF(ABS($Z$6)&lt;10,SIGN($Z$6)*ERF(ABS($Z$6)),SIGN($Z$6))</f>
        <v>0.9925735779134015</v>
      </c>
      <c r="AA7" s="177" t="s">
        <v>77</v>
      </c>
      <c r="AB7" s="61"/>
      <c r="AC7" s="1"/>
      <c r="AD7" s="1"/>
      <c r="AE7" s="1"/>
      <c r="AF7" s="1"/>
    </row>
    <row r="8" spans="1:32" ht="15" customHeight="1">
      <c r="A8" s="62" t="s">
        <v>86</v>
      </c>
      <c r="B8" s="83">
        <v>-140</v>
      </c>
      <c r="C8" s="105" t="s">
        <v>85</v>
      </c>
      <c r="D8" s="65" t="s">
        <v>97</v>
      </c>
      <c r="E8" s="152">
        <v>7725</v>
      </c>
      <c r="F8" s="73" t="s">
        <v>102</v>
      </c>
      <c r="G8" s="67"/>
      <c r="H8" s="61"/>
      <c r="I8" s="65" t="s">
        <v>19</v>
      </c>
      <c r="J8" s="83">
        <v>8</v>
      </c>
      <c r="K8" s="61"/>
      <c r="L8" s="61"/>
      <c r="M8" s="61"/>
      <c r="N8" s="61"/>
      <c r="O8" s="62" t="s">
        <v>17</v>
      </c>
      <c r="P8" s="63">
        <f>(10^-6)*$J$7*$P$7</f>
        <v>0.2724795640326975</v>
      </c>
      <c r="Q8" s="66"/>
      <c r="R8" s="85"/>
      <c r="S8" s="65" t="s">
        <v>112</v>
      </c>
      <c r="T8" s="49">
        <f>$P$3*((1/(0.00094*$B$4)^4)+1.05)</f>
        <v>0.2999587909867088</v>
      </c>
      <c r="U8" s="61" t="str">
        <f>"dB/km at "&amp;B4&amp;" nm"</f>
        <v>dB/km at 1565 nm</v>
      </c>
      <c r="V8" s="73"/>
      <c r="W8" s="66"/>
      <c r="Y8" s="175" t="s">
        <v>129</v>
      </c>
      <c r="Z8" s="179">
        <v>2.563</v>
      </c>
      <c r="AA8" s="177" t="s">
        <v>77</v>
      </c>
      <c r="AB8" s="61"/>
      <c r="AC8" s="1"/>
      <c r="AD8" s="1"/>
      <c r="AE8" s="1"/>
      <c r="AF8" s="1"/>
    </row>
    <row r="9" spans="1:32" ht="15" customHeight="1">
      <c r="A9" s="62" t="s">
        <v>18</v>
      </c>
      <c r="B9" s="83">
        <v>0</v>
      </c>
      <c r="C9" s="73"/>
      <c r="D9" s="65" t="s">
        <v>67</v>
      </c>
      <c r="E9" s="83">
        <v>18</v>
      </c>
      <c r="F9" s="73"/>
      <c r="G9" s="73"/>
      <c r="H9" s="61"/>
      <c r="I9" s="65" t="s">
        <v>22</v>
      </c>
      <c r="J9" s="129">
        <v>-2</v>
      </c>
      <c r="K9" s="67"/>
      <c r="L9" s="61"/>
      <c r="M9" s="67"/>
      <c r="N9" s="61"/>
      <c r="O9" s="62" t="s">
        <v>20</v>
      </c>
      <c r="P9" s="92">
        <f>(P8)</f>
        <v>0.2724795640326975</v>
      </c>
      <c r="Q9" s="66"/>
      <c r="R9" s="85"/>
      <c r="S9" s="93" t="s">
        <v>73</v>
      </c>
      <c r="T9" s="145">
        <f>T10*1000/$E$8</f>
        <v>42.58899676375405</v>
      </c>
      <c r="U9" s="94" t="s">
        <v>99</v>
      </c>
      <c r="V9" s="32"/>
      <c r="W9" s="41"/>
      <c r="Y9" s="180" t="s">
        <v>98</v>
      </c>
      <c r="Z9" s="202">
        <f>ERF(MAX(MIN($Z$8*$P$2*($P$9+1)/(SQRT(8)*$T$9),10),-10))+ERF(MAX(MIN($Z$8*$P$2*(1-$P$9)/(SQRT(8)*$T$9),10),-10))-1</f>
        <v>0.9478839331808959</v>
      </c>
      <c r="AA9" s="181" t="s">
        <v>77</v>
      </c>
      <c r="AB9" s="61"/>
      <c r="AC9" s="1"/>
      <c r="AD9" s="1"/>
      <c r="AE9" s="1"/>
      <c r="AF9" s="1"/>
    </row>
    <row r="10" spans="1:32" ht="15" customHeight="1">
      <c r="A10" s="62" t="s">
        <v>21</v>
      </c>
      <c r="B10" s="83">
        <v>0</v>
      </c>
      <c r="C10" s="73"/>
      <c r="D10" s="65" t="s">
        <v>68</v>
      </c>
      <c r="E10" s="83">
        <v>1</v>
      </c>
      <c r="F10" s="73"/>
      <c r="G10" s="62"/>
      <c r="H10" s="61"/>
      <c r="I10" s="62" t="s">
        <v>26</v>
      </c>
      <c r="J10" s="119">
        <v>8</v>
      </c>
      <c r="K10" s="61"/>
      <c r="L10" s="61"/>
      <c r="M10" s="67"/>
      <c r="N10" s="61"/>
      <c r="O10" s="62" t="s">
        <v>23</v>
      </c>
      <c r="P10" s="49">
        <f>S35-$T$6</f>
        <v>2.7625297213380833</v>
      </c>
      <c r="Q10" s="67" t="s">
        <v>24</v>
      </c>
      <c r="R10" s="85"/>
      <c r="S10" s="211" t="s">
        <v>171</v>
      </c>
      <c r="T10" s="247">
        <v>329</v>
      </c>
      <c r="U10" s="248" t="s">
        <v>103</v>
      </c>
      <c r="V10" s="73"/>
      <c r="W10" s="106" t="s">
        <v>25</v>
      </c>
      <c r="X10" s="66"/>
      <c r="Y10" s="61"/>
      <c r="Z10" s="73"/>
      <c r="AA10" s="158"/>
      <c r="AB10" s="61"/>
      <c r="AC10" s="1"/>
      <c r="AD10" s="1"/>
      <c r="AE10" s="1"/>
      <c r="AF10" s="1"/>
    </row>
    <row r="11" spans="1:32" ht="15" customHeight="1">
      <c r="A11" s="32"/>
      <c r="B11" s="32"/>
      <c r="C11" s="32"/>
      <c r="D11" s="33"/>
      <c r="E11" s="33"/>
      <c r="F11" s="33"/>
      <c r="G11" s="33"/>
      <c r="H11" s="33"/>
      <c r="I11" s="34" t="s">
        <v>75</v>
      </c>
      <c r="J11" s="35">
        <v>0.025</v>
      </c>
      <c r="K11" s="36" t="s">
        <v>66</v>
      </c>
      <c r="L11" s="37"/>
      <c r="M11" s="37"/>
      <c r="N11" s="33"/>
      <c r="O11" s="38" t="s">
        <v>62</v>
      </c>
      <c r="P11" s="39">
        <f>10*LOG10(1/SQRT(1-($J$6*J11)^2))</f>
        <v>0.0682681868313477</v>
      </c>
      <c r="Q11" s="36" t="s">
        <v>63</v>
      </c>
      <c r="R11" s="57"/>
      <c r="S11" s="38" t="s">
        <v>61</v>
      </c>
      <c r="T11" s="40">
        <f>10*LOG10(1/SQRT(1-($J$6*$J$11/$Z$9)^2))</f>
        <v>0.07611823324030983</v>
      </c>
      <c r="U11" s="249" t="s">
        <v>63</v>
      </c>
      <c r="V11" s="73"/>
      <c r="W11" s="95" t="s">
        <v>27</v>
      </c>
      <c r="X11" s="6" t="s">
        <v>28</v>
      </c>
      <c r="Y11" s="12" t="s">
        <v>34</v>
      </c>
      <c r="Z11" s="12" t="s">
        <v>29</v>
      </c>
      <c r="AA11" s="159" t="s">
        <v>78</v>
      </c>
      <c r="AB11" s="61"/>
      <c r="AC11" s="1"/>
      <c r="AD11" s="1"/>
      <c r="AE11" s="1"/>
      <c r="AF11" s="1"/>
    </row>
    <row r="12" spans="1:35" ht="15" customHeight="1">
      <c r="A12" s="123" t="s">
        <v>88</v>
      </c>
      <c r="B12" s="66" t="s">
        <v>57</v>
      </c>
      <c r="C12" s="66" t="s">
        <v>36</v>
      </c>
      <c r="D12" s="72" t="s">
        <v>80</v>
      </c>
      <c r="E12" s="72" t="s">
        <v>81</v>
      </c>
      <c r="F12" s="73" t="s">
        <v>82</v>
      </c>
      <c r="G12" s="73" t="s">
        <v>83</v>
      </c>
      <c r="H12" s="64" t="s">
        <v>37</v>
      </c>
      <c r="I12" s="65" t="s">
        <v>38</v>
      </c>
      <c r="J12" s="66" t="s">
        <v>39</v>
      </c>
      <c r="K12" s="67" t="s">
        <v>40</v>
      </c>
      <c r="L12" s="65" t="s">
        <v>41</v>
      </c>
      <c r="M12" s="65" t="s">
        <v>42</v>
      </c>
      <c r="N12" s="65" t="s">
        <v>43</v>
      </c>
      <c r="O12" s="68" t="s">
        <v>79</v>
      </c>
      <c r="P12" s="65" t="s">
        <v>44</v>
      </c>
      <c r="Q12" s="65" t="s">
        <v>45</v>
      </c>
      <c r="R12" s="69" t="s">
        <v>46</v>
      </c>
      <c r="S12" s="70" t="s">
        <v>48</v>
      </c>
      <c r="T12" s="68" t="s">
        <v>49</v>
      </c>
      <c r="U12" s="67" t="s">
        <v>50</v>
      </c>
      <c r="V12" s="71" t="s">
        <v>33</v>
      </c>
      <c r="W12" s="243" t="s">
        <v>32</v>
      </c>
      <c r="X12" s="6" t="s">
        <v>33</v>
      </c>
      <c r="Y12" s="10" t="s">
        <v>89</v>
      </c>
      <c r="Z12" s="6" t="s">
        <v>35</v>
      </c>
      <c r="AA12" s="159" t="s">
        <v>65</v>
      </c>
      <c r="AB12" s="66" t="s">
        <v>47</v>
      </c>
      <c r="AC12" s="165" t="s">
        <v>136</v>
      </c>
      <c r="AD12" s="1"/>
      <c r="AE12" s="153" t="s">
        <v>113</v>
      </c>
      <c r="AF12" s="182" t="s">
        <v>130</v>
      </c>
      <c r="AG12" s="189" t="s">
        <v>131</v>
      </c>
      <c r="AH12" s="166" t="s">
        <v>132</v>
      </c>
      <c r="AI12" s="166" t="s">
        <v>133</v>
      </c>
    </row>
    <row r="13" spans="1:35" s="33" customFormat="1" ht="15" customHeight="1">
      <c r="A13" s="124" t="s">
        <v>87</v>
      </c>
      <c r="B13" s="42" t="s">
        <v>58</v>
      </c>
      <c r="C13" s="42" t="s">
        <v>58</v>
      </c>
      <c r="D13" s="43" t="s">
        <v>84</v>
      </c>
      <c r="E13" s="43" t="s">
        <v>84</v>
      </c>
      <c r="F13" s="32" t="s">
        <v>109</v>
      </c>
      <c r="G13" s="32" t="s">
        <v>109</v>
      </c>
      <c r="H13" s="44" t="s">
        <v>30</v>
      </c>
      <c r="I13" s="45" t="s">
        <v>30</v>
      </c>
      <c r="J13" s="32"/>
      <c r="K13" s="46"/>
      <c r="L13" s="45" t="s">
        <v>30</v>
      </c>
      <c r="M13" s="45"/>
      <c r="N13" s="45" t="s">
        <v>30</v>
      </c>
      <c r="O13" s="45" t="s">
        <v>30</v>
      </c>
      <c r="P13" s="45" t="s">
        <v>30</v>
      </c>
      <c r="Q13" s="45" t="s">
        <v>30</v>
      </c>
      <c r="R13" s="58" t="s">
        <v>30</v>
      </c>
      <c r="S13" s="46" t="s">
        <v>30</v>
      </c>
      <c r="T13" s="47" t="s">
        <v>30</v>
      </c>
      <c r="U13" s="47" t="s">
        <v>31</v>
      </c>
      <c r="V13" s="48" t="s">
        <v>30</v>
      </c>
      <c r="W13" s="96" t="s">
        <v>51</v>
      </c>
      <c r="X13" s="42" t="s">
        <v>52</v>
      </c>
      <c r="Y13" s="42" t="s">
        <v>30</v>
      </c>
      <c r="Z13" s="42" t="s">
        <v>53</v>
      </c>
      <c r="AA13" s="160" t="s">
        <v>64</v>
      </c>
      <c r="AB13" s="42" t="s">
        <v>30</v>
      </c>
      <c r="AC13" s="139" t="s">
        <v>135</v>
      </c>
      <c r="AD13" s="140" t="s">
        <v>106</v>
      </c>
      <c r="AE13" s="140" t="s">
        <v>134</v>
      </c>
      <c r="AF13" s="183" t="s">
        <v>64</v>
      </c>
      <c r="AG13" s="190" t="s">
        <v>64</v>
      </c>
      <c r="AH13" s="190" t="s">
        <v>64</v>
      </c>
      <c r="AI13" s="190" t="s">
        <v>64</v>
      </c>
    </row>
    <row r="14" spans="1:35" s="117" customFormat="1" ht="15" customHeight="1">
      <c r="A14" s="125">
        <v>0.002</v>
      </c>
      <c r="B14" s="110">
        <f aca="true" t="shared" si="0" ref="B14:B35">0.25*$E$4*$B$4*(1-($E$5/$B$4)^4)</f>
        <v>19.06204393716412</v>
      </c>
      <c r="C14" s="132">
        <f aca="true" t="shared" si="1" ref="C14:C35">0.7*$E$4*$B$5</f>
        <v>0.0022134</v>
      </c>
      <c r="D14" s="111">
        <f aca="true" t="shared" si="2" ref="D14:D35">(0.187/(A14*$B$5))*(10^6/SQRT(B14^2+C14^2))</f>
        <v>144265745.610816</v>
      </c>
      <c r="E14" s="111">
        <f aca="true" t="shared" si="3" ref="E14:E35">$E$3/A14</f>
        <v>500000000</v>
      </c>
      <c r="F14" s="147">
        <f>SQRT(($J$5/D14)^2+($J$5/E14)^2+$P$4^2)</f>
        <v>50.09400000000012</v>
      </c>
      <c r="G14" s="147">
        <f aca="true" t="shared" si="4" ref="G14:G35">SQRT(F14^2+$T$9^2)</f>
        <v>65.75128501666765</v>
      </c>
      <c r="H14" s="112">
        <f aca="true" t="shared" si="5" ref="H14:H35">-10*LOG10(2*AG14-1)</f>
        <v>0.787432210560915</v>
      </c>
      <c r="I14" s="110">
        <f aca="true" t="shared" si="6" ref="I14:I35">A14*$P$3*((1/(0.00094*$B$4)^4)+1.05)</f>
        <v>0.0005999175819734176</v>
      </c>
      <c r="J14" s="113">
        <f aca="true" t="shared" si="7" ref="J14:J35">(10^-6)*3.14*$E$7*B14*A14*$B$5</f>
        <v>4.1973191096340106E-05</v>
      </c>
      <c r="K14" s="110">
        <f aca="true" t="shared" si="8" ref="K14:K35">($B$9/SQRT(2))*(1-EXP(-1*J14^2))</f>
        <v>0</v>
      </c>
      <c r="L14" s="110">
        <f aca="true" t="shared" si="9" ref="L14:L35">10*LOG10(1/SQRT(1-($J$6*K14)^2))</f>
        <v>0</v>
      </c>
      <c r="M14" s="110"/>
      <c r="N14" s="110"/>
      <c r="O14" s="110">
        <f aca="true" t="shared" si="10" ref="O14:O35">10*LOG10(1/SQRT(1-($J$6*$J$6*((($J$11/AA14)^2)+M14+(K14*K14)))))-$T$11-L14-N14</f>
        <v>0.041697640781681394</v>
      </c>
      <c r="P14" s="110">
        <f aca="true" t="shared" si="11" ref="P14:P35">Y14-Z14</f>
        <v>0</v>
      </c>
      <c r="Q14" s="110">
        <f aca="true" t="shared" si="12" ref="Q14:Q35">$B$10</f>
        <v>0</v>
      </c>
      <c r="R14" s="212">
        <f aca="true" t="shared" si="13" ref="R14:R35">-10*LOG10(AA14)-H14</f>
        <v>0.3728980613418046</v>
      </c>
      <c r="S14" s="157">
        <f aca="true" t="shared" si="14" ref="S14:S35">H14+I14+L14+N14+O14+P14+Q14+R14</f>
        <v>1.2026278302663744</v>
      </c>
      <c r="T14" s="110">
        <f aca="true" t="shared" si="15" ref="T14:T35">$E$10+I14</f>
        <v>1.0005999175819733</v>
      </c>
      <c r="U14" s="110">
        <f aca="true" t="shared" si="16" ref="U14:U35">S14-I14</f>
        <v>1.2020279126844011</v>
      </c>
      <c r="V14" s="115">
        <f aca="true" t="shared" si="17" ref="V14:V35">$T$6-S14</f>
        <v>15.797372169733626</v>
      </c>
      <c r="W14" s="116">
        <f aca="true" t="shared" si="18" ref="W14:W35">$J$9-T14-R14-P14</f>
        <v>-3.373497978923778</v>
      </c>
      <c r="X14" s="114"/>
      <c r="Y14" s="110">
        <f aca="true" t="shared" si="19" ref="Y14:Y35">10*LOG10((1+10^(-($B$6/10)))/(1-10^(-($B$6/10))))</f>
        <v>1.3883240157599444</v>
      </c>
      <c r="Z14" s="110">
        <f aca="true" t="shared" si="20" ref="Z14:Z35">10*LOG10((1+10^(-($J$10/10)))/(1-10^(-($J$10/10))))</f>
        <v>1.3883240157599444</v>
      </c>
      <c r="AA14" s="184">
        <f>ERF(AH14)+ERF(AI14)-1</f>
        <v>0.7655383870985923</v>
      </c>
      <c r="AB14" s="114">
        <f aca="true" t="shared" si="21" ref="AB14:AB35">$E$9-$E$10</f>
        <v>17</v>
      </c>
      <c r="AC14" s="141"/>
      <c r="AD14" s="142"/>
      <c r="AE14" s="113"/>
      <c r="AF14" s="187">
        <f aca="true" t="shared" si="22" ref="AF14:AF35">$Z$8*$P$2/(SQRT(8)*G14)</f>
        <v>1.2261440051595476</v>
      </c>
      <c r="AG14" s="191">
        <f>IF(ABS(AF14)&lt;10,SIGN(AF14)*ERF(ABS(AF14)),SIGN(AF14))</f>
        <v>0.917087124422339</v>
      </c>
      <c r="AH14" s="197">
        <f aca="true" t="shared" si="23" ref="AH14:AH35">MAX(MIN($Z$8*$P$2*($P$9+1)/(SQRT(8)*G14),10),-10)</f>
        <v>1.5602431891267265</v>
      </c>
      <c r="AI14" s="198">
        <f aca="true" t="shared" si="24" ref="AI14:AI35">MAX(MIN($Z$8*$P$2*(1-$P$9)/(SQRT(8)*G14),10),-10)</f>
        <v>0.8920448211923683</v>
      </c>
    </row>
    <row r="15" spans="1:35" s="20" customFormat="1" ht="15" customHeight="1">
      <c r="A15" s="126">
        <f>$J$3</f>
        <v>30</v>
      </c>
      <c r="B15" s="97">
        <f t="shared" si="0"/>
        <v>19.06204393716412</v>
      </c>
      <c r="C15" s="134">
        <f t="shared" si="1"/>
        <v>0.0022134</v>
      </c>
      <c r="D15" s="149">
        <f t="shared" si="2"/>
        <v>9617.7163740544</v>
      </c>
      <c r="E15" s="149">
        <f t="shared" si="3"/>
        <v>33333.333333333336</v>
      </c>
      <c r="F15" s="107">
        <f aca="true" t="shared" si="25" ref="F15:F35">SQRT((1000*$J$5/D15)^2+(1000*$J$5/E15)^2+$P$4^2)</f>
        <v>72.16347440318519</v>
      </c>
      <c r="G15" s="174">
        <f t="shared" si="4"/>
        <v>83.79373295946552</v>
      </c>
      <c r="H15" s="100">
        <f t="shared" si="5"/>
        <v>1.8524867949033663</v>
      </c>
      <c r="I15" s="97">
        <f t="shared" si="6"/>
        <v>8.998763729601263</v>
      </c>
      <c r="J15" s="97">
        <f t="shared" si="7"/>
        <v>0.6295978664451016</v>
      </c>
      <c r="K15" s="97">
        <f t="shared" si="8"/>
        <v>0</v>
      </c>
      <c r="L15" s="97">
        <f t="shared" si="9"/>
        <v>0</v>
      </c>
      <c r="M15" s="97">
        <f aca="true" t="shared" si="26" ref="M15:M35">$P$5*10^9*($J$5/G15)*10^($B$8/10)</f>
        <v>4.0098464184969184E-05</v>
      </c>
      <c r="N15" s="97">
        <f aca="true" t="shared" si="27" ref="N15:N35">10*LOG10(1/SQRT(1-($J$6^2)*M15))</f>
        <v>0.004316072114272419</v>
      </c>
      <c r="O15" s="97">
        <f t="shared" si="10"/>
        <v>0.12336580804752571</v>
      </c>
      <c r="P15" s="97">
        <f t="shared" si="11"/>
        <v>0</v>
      </c>
      <c r="Q15" s="97">
        <f t="shared" si="12"/>
        <v>0</v>
      </c>
      <c r="R15" s="203">
        <f t="shared" si="13"/>
        <v>0.406712246201846</v>
      </c>
      <c r="S15" s="98">
        <f t="shared" si="14"/>
        <v>11.385644650868274</v>
      </c>
      <c r="T15" s="97">
        <f t="shared" si="15"/>
        <v>9.998763729601263</v>
      </c>
      <c r="U15" s="97">
        <f t="shared" si="16"/>
        <v>2.386880921267011</v>
      </c>
      <c r="V15" s="102">
        <f t="shared" si="17"/>
        <v>5.614355349131726</v>
      </c>
      <c r="W15" s="103">
        <f t="shared" si="18"/>
        <v>-12.405475975803109</v>
      </c>
      <c r="X15" s="19"/>
      <c r="Y15" s="18">
        <f t="shared" si="19"/>
        <v>1.3883240157599444</v>
      </c>
      <c r="Z15" s="18">
        <f t="shared" si="20"/>
        <v>1.3883240157599444</v>
      </c>
      <c r="AA15" s="215">
        <f>ERF(AH15)+ERF(AI15)-1</f>
        <v>0.5944017726003643</v>
      </c>
      <c r="AB15" s="101">
        <f t="shared" si="21"/>
        <v>17</v>
      </c>
      <c r="AC15" s="192">
        <f aca="true" t="shared" si="28" ref="AC15:AC35">$J$2</f>
        <v>40</v>
      </c>
      <c r="AD15" s="194">
        <v>0</v>
      </c>
      <c r="AE15" s="207">
        <f aca="true" t="shared" si="29" ref="AE15:AE35">IF(A15=$J$2,V15,0)</f>
        <v>0</v>
      </c>
      <c r="AF15" s="161">
        <f t="shared" si="22"/>
        <v>0.9621309506967938</v>
      </c>
      <c r="AG15" s="185">
        <f>IF(ABS(AF15)&lt;10,SIGN(AF15)*ERF(ABS(AF15)),SIGN(AF15))</f>
        <v>0.8263783367156607</v>
      </c>
      <c r="AH15" s="200">
        <f t="shared" si="23"/>
        <v>1.224291972685021</v>
      </c>
      <c r="AI15" s="201">
        <f t="shared" si="24"/>
        <v>0.6999699287085666</v>
      </c>
    </row>
    <row r="16" spans="1:35" s="26" customFormat="1" ht="15" customHeight="1">
      <c r="A16" s="127">
        <f aca="true" t="shared" si="30" ref="A16:A35">A15+$J$4</f>
        <v>31</v>
      </c>
      <c r="B16" s="49">
        <f t="shared" si="0"/>
        <v>19.06204393716412</v>
      </c>
      <c r="C16" s="135">
        <f t="shared" si="1"/>
        <v>0.0022134</v>
      </c>
      <c r="D16" s="150">
        <f t="shared" si="2"/>
        <v>9307.467458762323</v>
      </c>
      <c r="E16" s="150">
        <f t="shared" si="3"/>
        <v>32258.064516129034</v>
      </c>
      <c r="F16" s="108">
        <f t="shared" si="25"/>
        <v>73.41963092361257</v>
      </c>
      <c r="G16" s="108">
        <f t="shared" si="4"/>
        <v>84.87794089339432</v>
      </c>
      <c r="H16" s="50">
        <f t="shared" si="5"/>
        <v>1.9271138323957469</v>
      </c>
      <c r="I16" s="49">
        <f t="shared" si="6"/>
        <v>9.298722520587972</v>
      </c>
      <c r="J16" s="49">
        <f t="shared" si="7"/>
        <v>0.6505844619932717</v>
      </c>
      <c r="K16" s="49">
        <f t="shared" si="8"/>
        <v>0</v>
      </c>
      <c r="L16" s="49">
        <f t="shared" si="9"/>
        <v>0</v>
      </c>
      <c r="M16" s="49">
        <f t="shared" si="26"/>
        <v>3.9586257213992974E-05</v>
      </c>
      <c r="N16" s="49">
        <f t="shared" si="27"/>
        <v>0.004260885646443167</v>
      </c>
      <c r="O16" s="49">
        <f t="shared" si="10"/>
        <v>0.13076038132275095</v>
      </c>
      <c r="P16" s="49">
        <f t="shared" si="11"/>
        <v>0</v>
      </c>
      <c r="Q16" s="49">
        <f t="shared" si="12"/>
        <v>0</v>
      </c>
      <c r="R16" s="206">
        <f t="shared" si="13"/>
        <v>0.407537964655845</v>
      </c>
      <c r="S16" s="53">
        <f t="shared" si="14"/>
        <v>11.76839558460876</v>
      </c>
      <c r="T16" s="49">
        <f t="shared" si="15"/>
        <v>10.298722520587972</v>
      </c>
      <c r="U16" s="49">
        <f t="shared" si="16"/>
        <v>2.469673064020787</v>
      </c>
      <c r="V16" s="54">
        <f t="shared" si="17"/>
        <v>5.23160441539124</v>
      </c>
      <c r="W16" s="99">
        <f t="shared" si="18"/>
        <v>-12.706260485243817</v>
      </c>
      <c r="X16" s="25">
        <f aca="true" t="shared" si="31" ref="X16:X34">(V17-V15)/2</f>
        <v>-0.38431758014905437</v>
      </c>
      <c r="Y16" s="23">
        <f t="shared" si="19"/>
        <v>1.3883240157599444</v>
      </c>
      <c r="Z16" s="23">
        <f t="shared" si="20"/>
        <v>1.3883240157599444</v>
      </c>
      <c r="AA16" s="214">
        <f>ERF(AH16)+ERF(AI16)-1</f>
        <v>0.5841640415556295</v>
      </c>
      <c r="AB16" s="52">
        <f t="shared" si="21"/>
        <v>17</v>
      </c>
      <c r="AC16" s="143">
        <f t="shared" si="28"/>
        <v>40</v>
      </c>
      <c r="AD16" s="144">
        <f aca="true" t="shared" si="32" ref="AD16:AD34">AD17</f>
        <v>17.9</v>
      </c>
      <c r="AE16" s="208">
        <f t="shared" si="29"/>
        <v>0</v>
      </c>
      <c r="AF16" s="162">
        <f t="shared" si="22"/>
        <v>0.9498409493225366</v>
      </c>
      <c r="AG16" s="186">
        <f>IF(ABS(AF16)&lt;10,SIGN(AF16)*ERF(ABS(AF16)),SIGN(AF16))</f>
        <v>0.8208179217141716</v>
      </c>
      <c r="AH16" s="202">
        <f t="shared" si="23"/>
        <v>1.2086531970943448</v>
      </c>
      <c r="AI16" s="202">
        <f t="shared" si="24"/>
        <v>0.6910287015507282</v>
      </c>
    </row>
    <row r="17" spans="1:35" s="26" customFormat="1" ht="15" customHeight="1">
      <c r="A17" s="127">
        <f t="shared" si="30"/>
        <v>32</v>
      </c>
      <c r="B17" s="49">
        <f t="shared" si="0"/>
        <v>19.06204393716412</v>
      </c>
      <c r="C17" s="135">
        <f t="shared" si="1"/>
        <v>0.0022134</v>
      </c>
      <c r="D17" s="150">
        <f t="shared" si="2"/>
        <v>9016.609100676002</v>
      </c>
      <c r="E17" s="150">
        <f t="shared" si="3"/>
        <v>31250</v>
      </c>
      <c r="F17" s="108">
        <f t="shared" si="25"/>
        <v>74.69480088396533</v>
      </c>
      <c r="G17" s="108">
        <f t="shared" si="4"/>
        <v>85.98334678551586</v>
      </c>
      <c r="H17" s="50">
        <f t="shared" si="5"/>
        <v>2.0043462205088853</v>
      </c>
      <c r="I17" s="49">
        <f t="shared" si="6"/>
        <v>9.598681311574682</v>
      </c>
      <c r="J17" s="49">
        <f t="shared" si="7"/>
        <v>0.6715710575414418</v>
      </c>
      <c r="K17" s="49">
        <f t="shared" si="8"/>
        <v>0</v>
      </c>
      <c r="L17" s="49">
        <f t="shared" si="9"/>
        <v>0</v>
      </c>
      <c r="M17" s="49">
        <f t="shared" si="26"/>
        <v>3.907733445618799E-05</v>
      </c>
      <c r="N17" s="49">
        <f t="shared" si="27"/>
        <v>0.004206054417035893</v>
      </c>
      <c r="O17" s="49">
        <f t="shared" si="10"/>
        <v>0.1387107084774452</v>
      </c>
      <c r="P17" s="49">
        <f t="shared" si="11"/>
        <v>0</v>
      </c>
      <c r="Q17" s="49">
        <f t="shared" si="12"/>
        <v>0</v>
      </c>
      <c r="R17" s="206">
        <f t="shared" si="13"/>
        <v>0.4083355161883335</v>
      </c>
      <c r="S17" s="53">
        <f t="shared" si="14"/>
        <v>12.154279811166383</v>
      </c>
      <c r="T17" s="49">
        <f t="shared" si="15"/>
        <v>10.598681311574682</v>
      </c>
      <c r="U17" s="49">
        <f t="shared" si="16"/>
        <v>2.555598499591701</v>
      </c>
      <c r="V17" s="54">
        <f t="shared" si="17"/>
        <v>4.845720188833617</v>
      </c>
      <c r="W17" s="99">
        <f t="shared" si="18"/>
        <v>-13.007016827763016</v>
      </c>
      <c r="X17" s="25">
        <f t="shared" si="31"/>
        <v>-0.38748035656639157</v>
      </c>
      <c r="Y17" s="23">
        <f t="shared" si="19"/>
        <v>1.3883240157599444</v>
      </c>
      <c r="Z17" s="23">
        <f t="shared" si="20"/>
        <v>1.3883240157599444</v>
      </c>
      <c r="AA17" s="214">
        <f>ERF(AH17)+ERF(AI17)-1</f>
        <v>0.5737620589182564</v>
      </c>
      <c r="AB17" s="52">
        <f t="shared" si="21"/>
        <v>17</v>
      </c>
      <c r="AC17" s="143">
        <f t="shared" si="28"/>
        <v>40</v>
      </c>
      <c r="AD17" s="144">
        <f t="shared" si="32"/>
        <v>17.9</v>
      </c>
      <c r="AE17" s="208">
        <f t="shared" si="29"/>
        <v>0</v>
      </c>
      <c r="AF17" s="162">
        <f t="shared" si="22"/>
        <v>0.9376297500471867</v>
      </c>
      <c r="AG17" s="186">
        <f>IF(ABS(AF17)&lt;10,SIGN(AF17)*ERF(ABS(AF17)),SIGN(AF17))</f>
        <v>0.8151631135410364</v>
      </c>
      <c r="AH17" s="202">
        <f t="shared" si="23"/>
        <v>1.1931146955641312</v>
      </c>
      <c r="AI17" s="202">
        <f t="shared" si="24"/>
        <v>0.6821448045302421</v>
      </c>
    </row>
    <row r="18" spans="1:35" s="26" customFormat="1" ht="15" customHeight="1">
      <c r="A18" s="127">
        <f t="shared" si="30"/>
        <v>33</v>
      </c>
      <c r="B18" s="49">
        <f t="shared" si="0"/>
        <v>19.06204393716412</v>
      </c>
      <c r="C18" s="135">
        <f t="shared" si="1"/>
        <v>0.0022134</v>
      </c>
      <c r="D18" s="150">
        <f t="shared" si="2"/>
        <v>8743.378521867637</v>
      </c>
      <c r="E18" s="150">
        <f t="shared" si="3"/>
        <v>30303.030303030304</v>
      </c>
      <c r="F18" s="108">
        <f t="shared" si="25"/>
        <v>75.98802708549808</v>
      </c>
      <c r="G18" s="108">
        <f t="shared" si="4"/>
        <v>87.10914363997296</v>
      </c>
      <c r="H18" s="50">
        <f t="shared" si="5"/>
        <v>2.0841882740265802</v>
      </c>
      <c r="I18" s="49">
        <f t="shared" si="6"/>
        <v>9.89864010256139</v>
      </c>
      <c r="J18" s="49">
        <f t="shared" si="7"/>
        <v>0.6925576530896117</v>
      </c>
      <c r="K18" s="49">
        <f t="shared" si="8"/>
        <v>0</v>
      </c>
      <c r="L18" s="49">
        <f t="shared" si="9"/>
        <v>0</v>
      </c>
      <c r="M18" s="49">
        <f t="shared" si="26"/>
        <v>3.857229975635016E-05</v>
      </c>
      <c r="N18" s="49">
        <f t="shared" si="27"/>
        <v>0.0041516434548312465</v>
      </c>
      <c r="O18" s="49">
        <f t="shared" si="10"/>
        <v>0.1472630170397265</v>
      </c>
      <c r="P18" s="49">
        <f t="shared" si="11"/>
        <v>0</v>
      </c>
      <c r="Q18" s="49">
        <f t="shared" si="12"/>
        <v>0</v>
      </c>
      <c r="R18" s="206">
        <f t="shared" si="13"/>
        <v>0.409113260659014</v>
      </c>
      <c r="S18" s="53">
        <f t="shared" si="14"/>
        <v>12.543356297741543</v>
      </c>
      <c r="T18" s="49">
        <f t="shared" si="15"/>
        <v>10.89864010256139</v>
      </c>
      <c r="U18" s="49">
        <f t="shared" si="16"/>
        <v>2.644716195180152</v>
      </c>
      <c r="V18" s="54">
        <f t="shared" si="17"/>
        <v>4.456643702258457</v>
      </c>
      <c r="W18" s="99">
        <f t="shared" si="18"/>
        <v>-13.307753363220405</v>
      </c>
      <c r="X18" s="25">
        <f t="shared" si="31"/>
        <v>-0.3907057454625109</v>
      </c>
      <c r="Y18" s="23">
        <f t="shared" si="19"/>
        <v>1.3883240157599444</v>
      </c>
      <c r="Z18" s="23">
        <f t="shared" si="20"/>
        <v>1.3883240157599444</v>
      </c>
      <c r="AA18" s="214">
        <f>ERF(AH18)+ERF(AI18)-1</f>
        <v>0.5632093376673972</v>
      </c>
      <c r="AB18" s="52">
        <f t="shared" si="21"/>
        <v>17</v>
      </c>
      <c r="AC18" s="143">
        <f t="shared" si="28"/>
        <v>40</v>
      </c>
      <c r="AD18" s="144">
        <f t="shared" si="32"/>
        <v>17.9</v>
      </c>
      <c r="AE18" s="208">
        <f t="shared" si="29"/>
        <v>0</v>
      </c>
      <c r="AF18" s="162">
        <f t="shared" si="22"/>
        <v>0.925511841649289</v>
      </c>
      <c r="AG18" s="186">
        <f>IF(ABS(AF18)&lt;10,SIGN(AF18)*ERF(ABS(AF18)),SIGN(AF18))</f>
        <v>0.8094219914504259</v>
      </c>
      <c r="AH18" s="202">
        <f t="shared" si="23"/>
        <v>1.1776949047689862</v>
      </c>
      <c r="AI18" s="202">
        <f t="shared" si="24"/>
        <v>0.6733287785295916</v>
      </c>
    </row>
    <row r="19" spans="1:35" s="26" customFormat="1" ht="15" customHeight="1">
      <c r="A19" s="127">
        <f t="shared" si="30"/>
        <v>34</v>
      </c>
      <c r="B19" s="49">
        <f t="shared" si="0"/>
        <v>19.06204393716412</v>
      </c>
      <c r="C19" s="135">
        <f t="shared" si="1"/>
        <v>0.0022134</v>
      </c>
      <c r="D19" s="150">
        <f t="shared" si="2"/>
        <v>8486.220330048</v>
      </c>
      <c r="E19" s="150">
        <f t="shared" si="3"/>
        <v>29411.764705882353</v>
      </c>
      <c r="F19" s="108">
        <f t="shared" si="25"/>
        <v>77.29840327401966</v>
      </c>
      <c r="G19" s="108">
        <f t="shared" si="4"/>
        <v>88.25455112375806</v>
      </c>
      <c r="H19" s="50">
        <f t="shared" si="5"/>
        <v>2.1666443133642255</v>
      </c>
      <c r="I19" s="49">
        <f t="shared" si="6"/>
        <v>10.198598893548098</v>
      </c>
      <c r="J19" s="49">
        <f t="shared" si="7"/>
        <v>0.7135442486377818</v>
      </c>
      <c r="K19" s="49">
        <f t="shared" si="8"/>
        <v>0</v>
      </c>
      <c r="L19" s="49">
        <f t="shared" si="9"/>
        <v>0</v>
      </c>
      <c r="M19" s="49">
        <f t="shared" si="26"/>
        <v>3.807169100308857E-05</v>
      </c>
      <c r="N19" s="49">
        <f t="shared" si="27"/>
        <v>0.004097710676654878</v>
      </c>
      <c r="O19" s="49">
        <f t="shared" si="10"/>
        <v>0.15646868672407147</v>
      </c>
      <c r="P19" s="49">
        <f t="shared" si="11"/>
        <v>0</v>
      </c>
      <c r="Q19" s="49">
        <f t="shared" si="12"/>
        <v>0</v>
      </c>
      <c r="R19" s="206">
        <f t="shared" si="13"/>
        <v>0.40988169777835415</v>
      </c>
      <c r="S19" s="53">
        <f t="shared" si="14"/>
        <v>12.935691302091405</v>
      </c>
      <c r="T19" s="49">
        <f t="shared" si="15"/>
        <v>11.198598893548098</v>
      </c>
      <c r="U19" s="49">
        <f t="shared" si="16"/>
        <v>2.7370924085433064</v>
      </c>
      <c r="V19" s="54">
        <f t="shared" si="17"/>
        <v>4.064308697908595</v>
      </c>
      <c r="W19" s="99">
        <f t="shared" si="18"/>
        <v>-13.608480591326453</v>
      </c>
      <c r="X19" s="25">
        <f t="shared" si="31"/>
        <v>-0.39400146666800673</v>
      </c>
      <c r="Y19" s="23">
        <f t="shared" si="19"/>
        <v>1.3883240157599444</v>
      </c>
      <c r="Z19" s="23">
        <f t="shared" si="20"/>
        <v>1.3883240157599444</v>
      </c>
      <c r="AA19" s="214">
        <f>ERF(AH19)+ERF(AI19)-1</f>
        <v>0.5525192312537923</v>
      </c>
      <c r="AB19" s="52">
        <f t="shared" si="21"/>
        <v>17</v>
      </c>
      <c r="AC19" s="143">
        <f t="shared" si="28"/>
        <v>40</v>
      </c>
      <c r="AD19" s="144">
        <f t="shared" si="32"/>
        <v>17.9</v>
      </c>
      <c r="AE19" s="208">
        <f t="shared" si="29"/>
        <v>0</v>
      </c>
      <c r="AF19" s="162">
        <f t="shared" si="22"/>
        <v>0.913500130340823</v>
      </c>
      <c r="AG19" s="186">
        <f>IF(ABS(AF19)&lt;10,SIGN(AF19)*ERF(ABS(AF19)),SIGN(AF19))</f>
        <v>0.803602660495933</v>
      </c>
      <c r="AH19" s="202">
        <f t="shared" si="23"/>
        <v>1.1624102475999027</v>
      </c>
      <c r="AI19" s="202">
        <f t="shared" si="24"/>
        <v>0.664590013081743</v>
      </c>
    </row>
    <row r="20" spans="1:35" s="20" customFormat="1" ht="15" customHeight="1">
      <c r="A20" s="126">
        <f t="shared" si="30"/>
        <v>35</v>
      </c>
      <c r="B20" s="97">
        <f t="shared" si="0"/>
        <v>19.06204393716412</v>
      </c>
      <c r="C20" s="134">
        <f t="shared" si="1"/>
        <v>0.0022134</v>
      </c>
      <c r="D20" s="149">
        <f t="shared" si="2"/>
        <v>8243.756892046627</v>
      </c>
      <c r="E20" s="149">
        <f t="shared" si="3"/>
        <v>28571.428571428572</v>
      </c>
      <c r="F20" s="107">
        <f t="shared" si="25"/>
        <v>78.62507198212906</v>
      </c>
      <c r="G20" s="107">
        <f t="shared" si="4"/>
        <v>89.41881563484291</v>
      </c>
      <c r="H20" s="100">
        <f t="shared" si="5"/>
        <v>2.2517201438463332</v>
      </c>
      <c r="I20" s="97">
        <f t="shared" si="6"/>
        <v>10.498557684534807</v>
      </c>
      <c r="J20" s="97">
        <f t="shared" si="7"/>
        <v>0.7345308441859519</v>
      </c>
      <c r="K20" s="97">
        <f t="shared" si="8"/>
        <v>0</v>
      </c>
      <c r="L20" s="97">
        <f t="shared" si="9"/>
        <v>0</v>
      </c>
      <c r="M20" s="97">
        <f t="shared" si="26"/>
        <v>3.757598416110919E-05</v>
      </c>
      <c r="N20" s="97">
        <f t="shared" si="27"/>
        <v>0.004044307322778148</v>
      </c>
      <c r="O20" s="97">
        <f t="shared" si="10"/>
        <v>0.16638493366787593</v>
      </c>
      <c r="P20" s="97">
        <f t="shared" si="11"/>
        <v>0</v>
      </c>
      <c r="Q20" s="97">
        <f t="shared" si="12"/>
        <v>0</v>
      </c>
      <c r="R20" s="205">
        <f t="shared" si="13"/>
        <v>0.41065216170576324</v>
      </c>
      <c r="S20" s="98">
        <f t="shared" si="14"/>
        <v>13.331359231077556</v>
      </c>
      <c r="T20" s="97">
        <f t="shared" si="15"/>
        <v>11.498557684534807</v>
      </c>
      <c r="U20" s="97">
        <f t="shared" si="16"/>
        <v>2.8328015465427487</v>
      </c>
      <c r="V20" s="102">
        <f t="shared" si="17"/>
        <v>3.668640768922444</v>
      </c>
      <c r="W20" s="103">
        <f t="shared" si="18"/>
        <v>-13.909209846240572</v>
      </c>
      <c r="X20" s="27">
        <f t="shared" si="31"/>
        <v>-0.39737655179053544</v>
      </c>
      <c r="Y20" s="18">
        <f t="shared" si="19"/>
        <v>1.3883240157599444</v>
      </c>
      <c r="Z20" s="18">
        <f t="shared" si="20"/>
        <v>1.3883240157599444</v>
      </c>
      <c r="AA20" s="216">
        <f>ERF(AH20)+ERF(AI20)-1</f>
        <v>0.5417049067634871</v>
      </c>
      <c r="AB20" s="101">
        <f t="shared" si="21"/>
        <v>17</v>
      </c>
      <c r="AC20" s="192">
        <f t="shared" si="28"/>
        <v>40</v>
      </c>
      <c r="AD20" s="193">
        <f t="shared" si="32"/>
        <v>17.9</v>
      </c>
      <c r="AE20" s="207">
        <f t="shared" si="29"/>
        <v>0</v>
      </c>
      <c r="AF20" s="161">
        <f t="shared" si="22"/>
        <v>0.9016060365186636</v>
      </c>
      <c r="AG20" s="185">
        <f>IF(ABS(AF20)&lt;10,SIGN(AF20)*ERF(ABS(AF20)),SIGN(AF20))</f>
        <v>0.7977131308598129</v>
      </c>
      <c r="AH20" s="200">
        <f t="shared" si="23"/>
        <v>1.1472752562785173</v>
      </c>
      <c r="AI20" s="200">
        <f t="shared" si="24"/>
        <v>0.6559368167588097</v>
      </c>
    </row>
    <row r="21" spans="1:35" s="26" customFormat="1" ht="15" customHeight="1">
      <c r="A21" s="127">
        <f t="shared" si="30"/>
        <v>36</v>
      </c>
      <c r="B21" s="49">
        <f t="shared" si="0"/>
        <v>19.06204393716412</v>
      </c>
      <c r="C21" s="135">
        <f t="shared" si="1"/>
        <v>0.0022134</v>
      </c>
      <c r="D21" s="150">
        <f t="shared" si="2"/>
        <v>8014.763645045334</v>
      </c>
      <c r="E21" s="150">
        <f t="shared" si="3"/>
        <v>27777.777777777777</v>
      </c>
      <c r="F21" s="108">
        <f t="shared" si="25"/>
        <v>79.96722232760368</v>
      </c>
      <c r="G21" s="108">
        <f t="shared" si="4"/>
        <v>90.6012102134152</v>
      </c>
      <c r="H21" s="50">
        <f t="shared" si="5"/>
        <v>2.3394255594048365</v>
      </c>
      <c r="I21" s="49">
        <f t="shared" si="6"/>
        <v>10.798516475521517</v>
      </c>
      <c r="J21" s="49">
        <f t="shared" si="7"/>
        <v>0.755517439734122</v>
      </c>
      <c r="K21" s="49">
        <f t="shared" si="8"/>
        <v>0</v>
      </c>
      <c r="L21" s="49">
        <f t="shared" si="9"/>
        <v>0</v>
      </c>
      <c r="M21" s="49">
        <f t="shared" si="26"/>
        <v>3.7085597334576105E-05</v>
      </c>
      <c r="N21" s="49">
        <f t="shared" si="27"/>
        <v>0.003991478395609064</v>
      </c>
      <c r="O21" s="49">
        <f t="shared" si="10"/>
        <v>0.17707569258978312</v>
      </c>
      <c r="P21" s="49">
        <f t="shared" si="11"/>
        <v>0</v>
      </c>
      <c r="Q21" s="49">
        <f t="shared" si="12"/>
        <v>0</v>
      </c>
      <c r="R21" s="206">
        <f t="shared" si="13"/>
        <v>0.41143519976072973</v>
      </c>
      <c r="S21" s="53">
        <f t="shared" si="14"/>
        <v>13.730444405672475</v>
      </c>
      <c r="T21" s="49">
        <f t="shared" si="15"/>
        <v>11.798516475521517</v>
      </c>
      <c r="U21" s="49">
        <f t="shared" si="16"/>
        <v>2.931927930150959</v>
      </c>
      <c r="V21" s="54">
        <f t="shared" si="17"/>
        <v>3.2695555943275245</v>
      </c>
      <c r="W21" s="99">
        <f t="shared" si="18"/>
        <v>-14.209951675282246</v>
      </c>
      <c r="X21" s="25">
        <f t="shared" si="31"/>
        <v>-0.400841139114525</v>
      </c>
      <c r="Y21" s="23">
        <f t="shared" si="19"/>
        <v>1.3883240157599444</v>
      </c>
      <c r="Z21" s="23">
        <f t="shared" si="20"/>
        <v>1.3883240157599444</v>
      </c>
      <c r="AA21" s="214">
        <f>ERF(AH21)+ERF(AI21)-1</f>
        <v>0.5307792348882914</v>
      </c>
      <c r="AB21" s="52">
        <f t="shared" si="21"/>
        <v>17</v>
      </c>
      <c r="AC21" s="143">
        <f t="shared" si="28"/>
        <v>40</v>
      </c>
      <c r="AD21" s="144">
        <f t="shared" si="32"/>
        <v>17.9</v>
      </c>
      <c r="AE21" s="208">
        <f t="shared" si="29"/>
        <v>0</v>
      </c>
      <c r="AF21" s="162">
        <f t="shared" si="22"/>
        <v>0.8898395922617206</v>
      </c>
      <c r="AG21" s="186">
        <f>IF(ABS(AF21)&lt;10,SIGN(AF21)*ERF(ABS(AF21)),SIGN(AF21))</f>
        <v>0.791761140782746</v>
      </c>
      <c r="AH21" s="202">
        <f t="shared" si="23"/>
        <v>1.1323026964202276</v>
      </c>
      <c r="AI21" s="202">
        <f t="shared" si="24"/>
        <v>0.6473764881032136</v>
      </c>
    </row>
    <row r="22" spans="1:35" s="26" customFormat="1" ht="15" customHeight="1">
      <c r="A22" s="127">
        <f t="shared" si="30"/>
        <v>37</v>
      </c>
      <c r="B22" s="49">
        <f t="shared" si="0"/>
        <v>19.06204393716412</v>
      </c>
      <c r="C22" s="135">
        <f t="shared" si="1"/>
        <v>0.0022134</v>
      </c>
      <c r="D22" s="150">
        <f t="shared" si="2"/>
        <v>7798.148411395461</v>
      </c>
      <c r="E22" s="150">
        <f t="shared" si="3"/>
        <v>27027.027027027027</v>
      </c>
      <c r="F22" s="108">
        <f t="shared" si="25"/>
        <v>81.32408780001926</v>
      </c>
      <c r="G22" s="108">
        <f t="shared" si="4"/>
        <v>91.80103431796559</v>
      </c>
      <c r="H22" s="50">
        <f t="shared" si="5"/>
        <v>2.429770470240576</v>
      </c>
      <c r="I22" s="49">
        <f t="shared" si="6"/>
        <v>11.098475266508226</v>
      </c>
      <c r="J22" s="49">
        <f t="shared" si="7"/>
        <v>0.776504035282292</v>
      </c>
      <c r="K22" s="49">
        <f t="shared" si="8"/>
        <v>0</v>
      </c>
      <c r="L22" s="49">
        <f t="shared" si="9"/>
        <v>0</v>
      </c>
      <c r="M22" s="49">
        <f t="shared" si="26"/>
        <v>3.660089480432404E-05</v>
      </c>
      <c r="N22" s="49">
        <f t="shared" si="27"/>
        <v>0.0039392630954754645</v>
      </c>
      <c r="O22" s="49">
        <f t="shared" si="10"/>
        <v>0.18861248661873536</v>
      </c>
      <c r="P22" s="49">
        <f t="shared" si="11"/>
        <v>0</v>
      </c>
      <c r="Q22" s="49">
        <f t="shared" si="12"/>
        <v>0</v>
      </c>
      <c r="R22" s="206">
        <f t="shared" si="13"/>
        <v>0.4122440228435944</v>
      </c>
      <c r="S22" s="53">
        <f t="shared" si="14"/>
        <v>14.133041509306606</v>
      </c>
      <c r="T22" s="49">
        <f t="shared" si="15"/>
        <v>12.098475266508226</v>
      </c>
      <c r="U22" s="49">
        <f t="shared" si="16"/>
        <v>3.0345662427983804</v>
      </c>
      <c r="V22" s="54">
        <f t="shared" si="17"/>
        <v>2.866958490693394</v>
      </c>
      <c r="W22" s="99">
        <f t="shared" si="18"/>
        <v>-14.51071928935182</v>
      </c>
      <c r="X22" s="25">
        <f t="shared" si="31"/>
        <v>-0.4044066110726998</v>
      </c>
      <c r="Y22" s="23">
        <f t="shared" si="19"/>
        <v>1.3883240157599444</v>
      </c>
      <c r="Z22" s="23">
        <f t="shared" si="20"/>
        <v>1.3883240157599444</v>
      </c>
      <c r="AA22" s="214">
        <f>ERF(AH22)+ERF(AI22)-1</f>
        <v>0.5197548501524736</v>
      </c>
      <c r="AB22" s="52">
        <f t="shared" si="21"/>
        <v>17</v>
      </c>
      <c r="AC22" s="143">
        <f t="shared" si="28"/>
        <v>40</v>
      </c>
      <c r="AD22" s="144">
        <f t="shared" si="32"/>
        <v>17.9</v>
      </c>
      <c r="AE22" s="208">
        <f t="shared" si="29"/>
        <v>0</v>
      </c>
      <c r="AF22" s="162">
        <f t="shared" si="22"/>
        <v>0.8782095382006635</v>
      </c>
      <c r="AG22" s="186">
        <f>IF(ABS(AF22)&lt;10,SIGN(AF22)*ERF(ABS(AF22)),SIGN(AF22))</f>
        <v>0.7857544203952272</v>
      </c>
      <c r="AH22" s="202">
        <f t="shared" si="23"/>
        <v>1.117503690298937</v>
      </c>
      <c r="AI22" s="202">
        <f t="shared" si="24"/>
        <v>0.6389153861023901</v>
      </c>
    </row>
    <row r="23" spans="1:35" s="26" customFormat="1" ht="15" customHeight="1">
      <c r="A23" s="127">
        <f t="shared" si="30"/>
        <v>38</v>
      </c>
      <c r="B23" s="49">
        <f t="shared" si="0"/>
        <v>19.06204393716412</v>
      </c>
      <c r="C23" s="135">
        <f t="shared" si="1"/>
        <v>0.0022134</v>
      </c>
      <c r="D23" s="150">
        <f t="shared" si="2"/>
        <v>7592.9339795166325</v>
      </c>
      <c r="E23" s="150">
        <f t="shared" si="3"/>
        <v>26315.78947368421</v>
      </c>
      <c r="F23" s="108">
        <f t="shared" si="25"/>
        <v>82.69494406149329</v>
      </c>
      <c r="G23" s="108">
        <f t="shared" si="4"/>
        <v>93.01761348624548</v>
      </c>
      <c r="H23" s="50">
        <f t="shared" si="5"/>
        <v>2.5227702173478384</v>
      </c>
      <c r="I23" s="49">
        <f t="shared" si="6"/>
        <v>11.398434057494933</v>
      </c>
      <c r="J23" s="49">
        <f t="shared" si="7"/>
        <v>0.797490630830462</v>
      </c>
      <c r="K23" s="49">
        <f t="shared" si="8"/>
        <v>0</v>
      </c>
      <c r="L23" s="49">
        <f t="shared" si="9"/>
        <v>0</v>
      </c>
      <c r="M23" s="49">
        <f t="shared" si="26"/>
        <v>3.612219099232043E-05</v>
      </c>
      <c r="N23" s="49">
        <f t="shared" si="27"/>
        <v>0.003887695248505721</v>
      </c>
      <c r="O23" s="49">
        <f t="shared" si="10"/>
        <v>0.20107561050907835</v>
      </c>
      <c r="P23" s="49">
        <f t="shared" si="11"/>
        <v>0</v>
      </c>
      <c r="Q23" s="49">
        <f t="shared" si="12"/>
        <v>0</v>
      </c>
      <c r="R23" s="206">
        <f t="shared" si="13"/>
        <v>0.4130900472175165</v>
      </c>
      <c r="S23" s="53">
        <f t="shared" si="14"/>
        <v>14.539257627817875</v>
      </c>
      <c r="T23" s="49">
        <f t="shared" si="15"/>
        <v>12.398434057494933</v>
      </c>
      <c r="U23" s="49">
        <f t="shared" si="16"/>
        <v>3.140823570322942</v>
      </c>
      <c r="V23" s="54">
        <f t="shared" si="17"/>
        <v>2.460742372182125</v>
      </c>
      <c r="W23" s="99">
        <f t="shared" si="18"/>
        <v>-14.81152410471245</v>
      </c>
      <c r="X23" s="25">
        <f t="shared" si="31"/>
        <v>-0.40808604459576703</v>
      </c>
      <c r="Y23" s="23">
        <f t="shared" si="19"/>
        <v>1.3883240157599444</v>
      </c>
      <c r="Z23" s="23">
        <f t="shared" si="20"/>
        <v>1.3883240157599444</v>
      </c>
      <c r="AA23" s="214">
        <f>ERF(AH23)+ERF(AI23)-1</f>
        <v>0.5086440558044463</v>
      </c>
      <c r="AB23" s="52">
        <f t="shared" si="21"/>
        <v>17</v>
      </c>
      <c r="AC23" s="143">
        <f t="shared" si="28"/>
        <v>40</v>
      </c>
      <c r="AD23" s="144">
        <f t="shared" si="32"/>
        <v>17.9</v>
      </c>
      <c r="AE23" s="208">
        <f t="shared" si="29"/>
        <v>0</v>
      </c>
      <c r="AF23" s="162">
        <f t="shared" si="22"/>
        <v>0.866723418642053</v>
      </c>
      <c r="AG23" s="186">
        <f>IF(ABS(AF23)&lt;10,SIGN(AF23)*ERF(ABS(AF23)),SIGN(AF23))</f>
        <v>0.779700332469191</v>
      </c>
      <c r="AH23" s="202">
        <f t="shared" si="23"/>
        <v>1.1028878378905689</v>
      </c>
      <c r="AI23" s="202">
        <f t="shared" si="24"/>
        <v>0.6305589993935372</v>
      </c>
    </row>
    <row r="24" spans="1:35" s="26" customFormat="1" ht="15" customHeight="1">
      <c r="A24" s="127">
        <f t="shared" si="30"/>
        <v>39</v>
      </c>
      <c r="B24" s="49">
        <f t="shared" si="0"/>
        <v>19.06204393716412</v>
      </c>
      <c r="C24" s="135">
        <f t="shared" si="1"/>
        <v>0.0022134</v>
      </c>
      <c r="D24" s="150">
        <f t="shared" si="2"/>
        <v>7398.243364657232</v>
      </c>
      <c r="E24" s="150">
        <f t="shared" si="3"/>
        <v>25641.02564102564</v>
      </c>
      <c r="F24" s="108">
        <f t="shared" si="25"/>
        <v>84.07910678210843</v>
      </c>
      <c r="G24" s="108">
        <f t="shared" si="4"/>
        <v>94.25029889936819</v>
      </c>
      <c r="H24" s="50">
        <f t="shared" si="5"/>
        <v>2.61844095087524</v>
      </c>
      <c r="I24" s="49">
        <f t="shared" si="6"/>
        <v>11.698392848481644</v>
      </c>
      <c r="J24" s="49">
        <f t="shared" si="7"/>
        <v>0.8184772263786321</v>
      </c>
      <c r="K24" s="49">
        <f t="shared" si="8"/>
        <v>0</v>
      </c>
      <c r="L24" s="49">
        <f t="shared" si="9"/>
        <v>0</v>
      </c>
      <c r="M24" s="49">
        <f t="shared" si="26"/>
        <v>3.5649754316296644E-05</v>
      </c>
      <c r="N24" s="49">
        <f t="shared" si="27"/>
        <v>0.0038368037225910362</v>
      </c>
      <c r="O24" s="49">
        <f t="shared" si="10"/>
        <v>0.21455541934512587</v>
      </c>
      <c r="P24" s="49">
        <f t="shared" si="11"/>
        <v>0</v>
      </c>
      <c r="Q24" s="49">
        <f t="shared" si="12"/>
        <v>0</v>
      </c>
      <c r="R24" s="206">
        <f t="shared" si="13"/>
        <v>0.4139875760735392</v>
      </c>
      <c r="S24" s="53">
        <f t="shared" si="14"/>
        <v>14.94921359849814</v>
      </c>
      <c r="T24" s="49">
        <f t="shared" si="15"/>
        <v>12.698392848481644</v>
      </c>
      <c r="U24" s="49">
        <f t="shared" si="16"/>
        <v>3.250820750016496</v>
      </c>
      <c r="V24" s="54">
        <f t="shared" si="17"/>
        <v>2.0507864015018598</v>
      </c>
      <c r="W24" s="99">
        <f t="shared" si="18"/>
        <v>-15.112380424555184</v>
      </c>
      <c r="X24" s="25">
        <f t="shared" si="31"/>
        <v>-0.41189464754174754</v>
      </c>
      <c r="Y24" s="23">
        <f t="shared" si="19"/>
        <v>1.3883240157599444</v>
      </c>
      <c r="Z24" s="23">
        <f t="shared" si="20"/>
        <v>1.3883240157599444</v>
      </c>
      <c r="AA24" s="214">
        <f>ERF(AH24)+ERF(AI24)-1</f>
        <v>0.4974588336833845</v>
      </c>
      <c r="AB24" s="52">
        <f t="shared" si="21"/>
        <v>17</v>
      </c>
      <c r="AC24" s="143">
        <f t="shared" si="28"/>
        <v>40</v>
      </c>
      <c r="AD24" s="144">
        <f t="shared" si="32"/>
        <v>17.9</v>
      </c>
      <c r="AE24" s="208">
        <f t="shared" si="29"/>
        <v>0</v>
      </c>
      <c r="AF24" s="162">
        <f t="shared" si="22"/>
        <v>0.8553876740571723</v>
      </c>
      <c r="AG24" s="186">
        <f>IF(ABS(AF24)&lt;10,SIGN(AF24)*ERF(ABS(AF24)),SIGN(AF24))</f>
        <v>0.7736061841513031</v>
      </c>
      <c r="AH24" s="202">
        <f t="shared" si="23"/>
        <v>1.0884633345632138</v>
      </c>
      <c r="AI24" s="202">
        <f t="shared" si="24"/>
        <v>0.6223120135511307</v>
      </c>
    </row>
    <row r="25" spans="1:35" s="20" customFormat="1" ht="15" customHeight="1">
      <c r="A25" s="126">
        <f t="shared" si="30"/>
        <v>40</v>
      </c>
      <c r="B25" s="97">
        <f t="shared" si="0"/>
        <v>19.06204393716412</v>
      </c>
      <c r="C25" s="134">
        <f t="shared" si="1"/>
        <v>0.0022134</v>
      </c>
      <c r="D25" s="149">
        <f t="shared" si="2"/>
        <v>7213.2872805408</v>
      </c>
      <c r="E25" s="149">
        <f t="shared" si="3"/>
        <v>25000</v>
      </c>
      <c r="F25" s="107">
        <f t="shared" si="25"/>
        <v>85.47592952601507</v>
      </c>
      <c r="G25" s="107">
        <f t="shared" si="4"/>
        <v>95.49846686559606</v>
      </c>
      <c r="H25" s="100">
        <f t="shared" si="5"/>
        <v>2.716805259670921</v>
      </c>
      <c r="I25" s="97">
        <f t="shared" si="6"/>
        <v>11.998351639468352</v>
      </c>
      <c r="J25" s="97">
        <f t="shared" si="7"/>
        <v>0.8394638219268022</v>
      </c>
      <c r="K25" s="97">
        <f t="shared" si="8"/>
        <v>0</v>
      </c>
      <c r="L25" s="97">
        <f t="shared" si="9"/>
        <v>0</v>
      </c>
      <c r="M25" s="97">
        <f t="shared" si="26"/>
        <v>3.518381090587394E-05</v>
      </c>
      <c r="N25" s="97">
        <f t="shared" si="27"/>
        <v>0.0037866128283530476</v>
      </c>
      <c r="O25" s="97">
        <f t="shared" si="10"/>
        <v>0.22915402355129172</v>
      </c>
      <c r="P25" s="97">
        <f t="shared" si="11"/>
        <v>0</v>
      </c>
      <c r="Q25" s="97">
        <f t="shared" si="12"/>
        <v>0</v>
      </c>
      <c r="R25" s="205">
        <f t="shared" si="13"/>
        <v>0.4149493873824519</v>
      </c>
      <c r="S25" s="98">
        <f t="shared" si="14"/>
        <v>15.36304692290137</v>
      </c>
      <c r="T25" s="97">
        <f t="shared" si="15"/>
        <v>12.998351639468352</v>
      </c>
      <c r="U25" s="97">
        <f t="shared" si="16"/>
        <v>3.3646952834330186</v>
      </c>
      <c r="V25" s="102">
        <f t="shared" si="17"/>
        <v>1.6369530770986298</v>
      </c>
      <c r="W25" s="103">
        <f t="shared" si="18"/>
        <v>-15.413301026850803</v>
      </c>
      <c r="X25" s="27">
        <f t="shared" si="31"/>
        <v>-0.4158496039768771</v>
      </c>
      <c r="Y25" s="18">
        <f t="shared" si="19"/>
        <v>1.3883240157599444</v>
      </c>
      <c r="Z25" s="18">
        <f t="shared" si="20"/>
        <v>1.3883240157599444</v>
      </c>
      <c r="AA25" s="216">
        <f>ERF(AH25)+ERF(AI25)-1</f>
        <v>0.4862107259713928</v>
      </c>
      <c r="AB25" s="101">
        <f t="shared" si="21"/>
        <v>17</v>
      </c>
      <c r="AC25" s="192">
        <f t="shared" si="28"/>
        <v>40</v>
      </c>
      <c r="AD25" s="193">
        <f t="shared" si="32"/>
        <v>17.9</v>
      </c>
      <c r="AE25" s="207">
        <f t="shared" si="29"/>
        <v>1.6369530770986298</v>
      </c>
      <c r="AF25" s="161">
        <f t="shared" si="22"/>
        <v>0.8442077302475302</v>
      </c>
      <c r="AG25" s="185">
        <f>IF(ABS(AF25)&lt;10,SIGN(AF25)*ERF(ABS(AF25)),SIGN(AF25))</f>
        <v>0.767478869120437</v>
      </c>
      <c r="AH25" s="200">
        <f t="shared" si="23"/>
        <v>1.0742370845384104</v>
      </c>
      <c r="AI25" s="200">
        <f t="shared" si="24"/>
        <v>0.6141783759566499</v>
      </c>
    </row>
    <row r="26" spans="1:35" s="26" customFormat="1" ht="15" customHeight="1">
      <c r="A26" s="127">
        <f t="shared" si="30"/>
        <v>41</v>
      </c>
      <c r="B26" s="49">
        <f t="shared" si="0"/>
        <v>19.06204393716412</v>
      </c>
      <c r="C26" s="135">
        <f t="shared" si="1"/>
        <v>0.0022134</v>
      </c>
      <c r="D26" s="150">
        <f t="shared" si="2"/>
        <v>7037.3534444300485</v>
      </c>
      <c r="E26" s="150">
        <f t="shared" si="3"/>
        <v>24390.243902439026</v>
      </c>
      <c r="F26" s="108">
        <f t="shared" si="25"/>
        <v>86.88480170035965</v>
      </c>
      <c r="G26" s="108">
        <f t="shared" si="4"/>
        <v>96.76151823867725</v>
      </c>
      <c r="H26" s="50">
        <f t="shared" si="5"/>
        <v>2.8178880346441995</v>
      </c>
      <c r="I26" s="49">
        <f t="shared" si="6"/>
        <v>12.29831043045506</v>
      </c>
      <c r="J26" s="49">
        <f t="shared" si="7"/>
        <v>0.8604504174749722</v>
      </c>
      <c r="K26" s="49">
        <f t="shared" si="8"/>
        <v>0</v>
      </c>
      <c r="L26" s="49">
        <f t="shared" si="9"/>
        <v>0</v>
      </c>
      <c r="M26" s="49">
        <f t="shared" si="26"/>
        <v>3.4724548158825285E-05</v>
      </c>
      <c r="N26" s="49">
        <f t="shared" si="27"/>
        <v>0.003737142702818353</v>
      </c>
      <c r="O26" s="49">
        <f t="shared" si="10"/>
        <v>0.24498701944998635</v>
      </c>
      <c r="P26" s="49">
        <f t="shared" si="11"/>
        <v>0</v>
      </c>
      <c r="Q26" s="49">
        <f t="shared" si="12"/>
        <v>0</v>
      </c>
      <c r="R26" s="206">
        <f t="shared" si="13"/>
        <v>0.4159901791998304</v>
      </c>
      <c r="S26" s="53">
        <f t="shared" si="14"/>
        <v>15.780912806451894</v>
      </c>
      <c r="T26" s="49">
        <f t="shared" si="15"/>
        <v>13.29831043045506</v>
      </c>
      <c r="U26" s="49">
        <f t="shared" si="16"/>
        <v>3.4826023759968336</v>
      </c>
      <c r="V26" s="54">
        <f t="shared" si="17"/>
        <v>1.2190871935481056</v>
      </c>
      <c r="W26" s="99">
        <f t="shared" si="18"/>
        <v>-15.714300609654892</v>
      </c>
      <c r="X26" s="25">
        <f t="shared" si="31"/>
        <v>-0.4199702410644983</v>
      </c>
      <c r="Y26" s="23">
        <f t="shared" si="19"/>
        <v>1.3883240157599444</v>
      </c>
      <c r="Z26" s="23">
        <f t="shared" si="20"/>
        <v>1.3883240157599444</v>
      </c>
      <c r="AA26" s="214">
        <f>ERF(AH26)+ERF(AI26)-1</f>
        <v>0.4749109449809259</v>
      </c>
      <c r="AB26" s="52">
        <f t="shared" si="21"/>
        <v>17</v>
      </c>
      <c r="AC26" s="143">
        <f t="shared" si="28"/>
        <v>40</v>
      </c>
      <c r="AD26" s="144">
        <f t="shared" si="32"/>
        <v>17.9</v>
      </c>
      <c r="AE26" s="208">
        <f t="shared" si="29"/>
        <v>0</v>
      </c>
      <c r="AF26" s="162">
        <f t="shared" si="22"/>
        <v>0.833188083674553</v>
      </c>
      <c r="AG26" s="186">
        <f>IF(ABS(AF26)&lt;10,SIGN(AF26)*ERF(ABS(AF26)),SIGN(AF26))</f>
        <v>0.7613251454989064</v>
      </c>
      <c r="AH26" s="202">
        <f t="shared" si="23"/>
        <v>1.0602148094714339</v>
      </c>
      <c r="AI26" s="202">
        <f t="shared" si="24"/>
        <v>0.606161357877672</v>
      </c>
    </row>
    <row r="27" spans="1:35" s="26" customFormat="1" ht="15" customHeight="1">
      <c r="A27" s="127">
        <f t="shared" si="30"/>
        <v>42</v>
      </c>
      <c r="B27" s="49">
        <f t="shared" si="0"/>
        <v>19.06204393716412</v>
      </c>
      <c r="C27" s="135">
        <f t="shared" si="1"/>
        <v>0.0022134</v>
      </c>
      <c r="D27" s="150">
        <f t="shared" si="2"/>
        <v>6869.7974100388565</v>
      </c>
      <c r="E27" s="150">
        <f t="shared" si="3"/>
        <v>23809.52380952381</v>
      </c>
      <c r="F27" s="108">
        <f t="shared" si="25"/>
        <v>88.30514657595425</v>
      </c>
      <c r="G27" s="108">
        <f t="shared" si="4"/>
        <v>98.03887778398843</v>
      </c>
      <c r="H27" s="50">
        <f t="shared" si="5"/>
        <v>2.92171842255232</v>
      </c>
      <c r="I27" s="49">
        <f t="shared" si="6"/>
        <v>12.598269221441768</v>
      </c>
      <c r="J27" s="49">
        <f t="shared" si="7"/>
        <v>0.8814370130231423</v>
      </c>
      <c r="K27" s="49">
        <f t="shared" si="8"/>
        <v>0</v>
      </c>
      <c r="L27" s="49">
        <f t="shared" si="9"/>
        <v>0</v>
      </c>
      <c r="M27" s="49">
        <f t="shared" si="26"/>
        <v>3.427211812239603E-05</v>
      </c>
      <c r="N27" s="49">
        <f t="shared" si="27"/>
        <v>0.0036884096741803857</v>
      </c>
      <c r="O27" s="49">
        <f t="shared" si="10"/>
        <v>0.26218580850182793</v>
      </c>
      <c r="P27" s="49">
        <f t="shared" si="11"/>
        <v>0</v>
      </c>
      <c r="Q27" s="49">
        <f t="shared" si="12"/>
        <v>0</v>
      </c>
      <c r="R27" s="206">
        <f t="shared" si="13"/>
        <v>0.4171255428602705</v>
      </c>
      <c r="S27" s="53">
        <f t="shared" si="14"/>
        <v>16.202987405030367</v>
      </c>
      <c r="T27" s="49">
        <f t="shared" si="15"/>
        <v>13.598269221441768</v>
      </c>
      <c r="U27" s="49">
        <f t="shared" si="16"/>
        <v>3.6047181835885986</v>
      </c>
      <c r="V27" s="54">
        <f t="shared" si="17"/>
        <v>0.7970125949696332</v>
      </c>
      <c r="W27" s="99">
        <f t="shared" si="18"/>
        <v>-16.015394764302037</v>
      </c>
      <c r="X27" s="25">
        <f t="shared" si="31"/>
        <v>-0.4242795901060372</v>
      </c>
      <c r="Y27" s="23">
        <f t="shared" si="19"/>
        <v>1.3883240157599444</v>
      </c>
      <c r="Z27" s="23">
        <f t="shared" si="20"/>
        <v>1.3883240157599444</v>
      </c>
      <c r="AA27" s="214">
        <f>ERF(AH27)+ERF(AI27)-1</f>
        <v>0.46357029960950946</v>
      </c>
      <c r="AB27" s="52">
        <f t="shared" si="21"/>
        <v>17</v>
      </c>
      <c r="AC27" s="143">
        <f t="shared" si="28"/>
        <v>40</v>
      </c>
      <c r="AD27" s="144">
        <f t="shared" si="32"/>
        <v>17.9</v>
      </c>
      <c r="AE27" s="208">
        <f t="shared" si="29"/>
        <v>0</v>
      </c>
      <c r="AF27" s="162">
        <f t="shared" si="22"/>
        <v>0.8223323825917013</v>
      </c>
      <c r="AG27" s="186">
        <f>IF(ABS(AF27)&lt;10,SIGN(AF27)*ERF(ABS(AF27)),SIGN(AF27))</f>
        <v>0.7551515212962767</v>
      </c>
      <c r="AH27" s="202">
        <f t="shared" si="23"/>
        <v>1.0464011516902574</v>
      </c>
      <c r="AI27" s="202">
        <f t="shared" si="24"/>
        <v>0.598263613493145</v>
      </c>
    </row>
    <row r="28" spans="1:35" s="26" customFormat="1" ht="15" customHeight="1">
      <c r="A28" s="127">
        <f t="shared" si="30"/>
        <v>43</v>
      </c>
      <c r="B28" s="49">
        <f t="shared" si="0"/>
        <v>19.06204393716412</v>
      </c>
      <c r="C28" s="135">
        <f t="shared" si="1"/>
        <v>0.0022134</v>
      </c>
      <c r="D28" s="150">
        <f t="shared" si="2"/>
        <v>6710.0346795728365</v>
      </c>
      <c r="E28" s="150">
        <f t="shared" si="3"/>
        <v>23255.81395348837</v>
      </c>
      <c r="F28" s="108">
        <f t="shared" si="25"/>
        <v>89.73641938592229</v>
      </c>
      <c r="G28" s="108">
        <f t="shared" si="4"/>
        <v>99.329993504224</v>
      </c>
      <c r="H28" s="50">
        <f t="shared" si="5"/>
        <v>3.0283335741228</v>
      </c>
      <c r="I28" s="49">
        <f t="shared" si="6"/>
        <v>12.89822801242848</v>
      </c>
      <c r="J28" s="49">
        <f t="shared" si="7"/>
        <v>0.9024236085713123</v>
      </c>
      <c r="K28" s="49">
        <f t="shared" si="8"/>
        <v>0</v>
      </c>
      <c r="L28" s="49">
        <f t="shared" si="9"/>
        <v>0</v>
      </c>
      <c r="M28" s="49">
        <f t="shared" si="26"/>
        <v>3.3826640689925305E-05</v>
      </c>
      <c r="N28" s="49">
        <f t="shared" si="27"/>
        <v>0.0036404266065933905</v>
      </c>
      <c r="O28" s="49">
        <f t="shared" si="10"/>
        <v>0.2809004648980021</v>
      </c>
      <c r="P28" s="49">
        <f t="shared" si="11"/>
        <v>0</v>
      </c>
      <c r="Q28" s="49">
        <f t="shared" si="12"/>
        <v>0</v>
      </c>
      <c r="R28" s="206">
        <f t="shared" si="13"/>
        <v>0.4183695086080954</v>
      </c>
      <c r="S28" s="53">
        <f t="shared" si="14"/>
        <v>16.62947198666397</v>
      </c>
      <c r="T28" s="49">
        <f t="shared" si="15"/>
        <v>13.89822801242848</v>
      </c>
      <c r="U28" s="49">
        <f t="shared" si="16"/>
        <v>3.7312439742354897</v>
      </c>
      <c r="V28" s="54">
        <f t="shared" si="17"/>
        <v>0.37052801333603114</v>
      </c>
      <c r="W28" s="99">
        <f t="shared" si="18"/>
        <v>-16.316597521036574</v>
      </c>
      <c r="X28" s="25">
        <f t="shared" si="31"/>
        <v>-0.42880391168035814</v>
      </c>
      <c r="Y28" s="23">
        <f t="shared" si="19"/>
        <v>1.3883240157599444</v>
      </c>
      <c r="Z28" s="23">
        <f t="shared" si="20"/>
        <v>1.3883240157599444</v>
      </c>
      <c r="AA28" s="214">
        <f>ERF(AH28)+ERF(AI28)-1</f>
        <v>0.452199098002529</v>
      </c>
      <c r="AB28" s="52">
        <f t="shared" si="21"/>
        <v>17</v>
      </c>
      <c r="AC28" s="143">
        <f t="shared" si="28"/>
        <v>40</v>
      </c>
      <c r="AD28" s="144">
        <f t="shared" si="32"/>
        <v>17.9</v>
      </c>
      <c r="AE28" s="208">
        <f t="shared" si="29"/>
        <v>0</v>
      </c>
      <c r="AF28" s="162">
        <f t="shared" si="22"/>
        <v>0.8116435037448727</v>
      </c>
      <c r="AG28" s="186">
        <f>IF(ABS(AF28)&lt;10,SIGN(AF28)*ERF(ABS(AF28)),SIGN(AF28))</f>
        <v>0.748964053847019</v>
      </c>
      <c r="AH28" s="202">
        <f t="shared" si="23"/>
        <v>1.0327997717952466</v>
      </c>
      <c r="AI28" s="202">
        <f t="shared" si="24"/>
        <v>0.5904872356944986</v>
      </c>
    </row>
    <row r="29" spans="1:35" s="26" customFormat="1" ht="15" customHeight="1">
      <c r="A29" s="127">
        <f t="shared" si="30"/>
        <v>44</v>
      </c>
      <c r="B29" s="49">
        <f t="shared" si="0"/>
        <v>19.06204393716412</v>
      </c>
      <c r="C29" s="135">
        <f t="shared" si="1"/>
        <v>0.0022134</v>
      </c>
      <c r="D29" s="150">
        <f t="shared" si="2"/>
        <v>6557.533891400728</v>
      </c>
      <c r="E29" s="150">
        <f t="shared" si="3"/>
        <v>22727.272727272728</v>
      </c>
      <c r="F29" s="108">
        <f t="shared" si="25"/>
        <v>91.17810550634903</v>
      </c>
      <c r="G29" s="108">
        <f t="shared" si="4"/>
        <v>100.63433593495795</v>
      </c>
      <c r="H29" s="50">
        <f t="shared" si="5"/>
        <v>3.1377725066002626</v>
      </c>
      <c r="I29" s="49">
        <f t="shared" si="6"/>
        <v>13.198186803415187</v>
      </c>
      <c r="J29" s="49">
        <f t="shared" si="7"/>
        <v>0.9234102041194824</v>
      </c>
      <c r="K29" s="49">
        <f t="shared" si="8"/>
        <v>0</v>
      </c>
      <c r="L29" s="49">
        <f t="shared" si="9"/>
        <v>0</v>
      </c>
      <c r="M29" s="49">
        <f t="shared" si="26"/>
        <v>3.3388206607450935E-05</v>
      </c>
      <c r="N29" s="49">
        <f t="shared" si="27"/>
        <v>0.003593203224444077</v>
      </c>
      <c r="O29" s="49">
        <f t="shared" si="10"/>
        <v>0.3013028339054446</v>
      </c>
      <c r="P29" s="49">
        <f t="shared" si="11"/>
        <v>0</v>
      </c>
      <c r="Q29" s="49">
        <f t="shared" si="12"/>
        <v>0</v>
      </c>
      <c r="R29" s="206">
        <f t="shared" si="13"/>
        <v>0.4197398812457416</v>
      </c>
      <c r="S29" s="53">
        <f t="shared" si="14"/>
        <v>17.060595228391083</v>
      </c>
      <c r="T29" s="49">
        <f t="shared" si="15"/>
        <v>14.198186803415187</v>
      </c>
      <c r="U29" s="49">
        <f t="shared" si="16"/>
        <v>3.8624084249758965</v>
      </c>
      <c r="V29" s="54">
        <f t="shared" si="17"/>
        <v>-0.06059522839108311</v>
      </c>
      <c r="W29" s="99">
        <f t="shared" si="18"/>
        <v>-16.61792668466093</v>
      </c>
      <c r="X29" s="25">
        <f t="shared" si="31"/>
        <v>-0.43357324361839744</v>
      </c>
      <c r="Y29" s="23">
        <f t="shared" si="19"/>
        <v>1.3883240157599444</v>
      </c>
      <c r="Z29" s="23">
        <f t="shared" si="20"/>
        <v>1.3883240157599444</v>
      </c>
      <c r="AA29" s="214">
        <f>ERF(AH29)+ERF(AI29)-1</f>
        <v>0.4408072829153791</v>
      </c>
      <c r="AB29" s="52">
        <f t="shared" si="21"/>
        <v>17</v>
      </c>
      <c r="AC29" s="143">
        <f t="shared" si="28"/>
        <v>40</v>
      </c>
      <c r="AD29" s="144">
        <f t="shared" si="32"/>
        <v>17.9</v>
      </c>
      <c r="AE29" s="208">
        <f t="shared" si="29"/>
        <v>0</v>
      </c>
      <c r="AF29" s="162">
        <f t="shared" si="22"/>
        <v>0.8011236245135115</v>
      </c>
      <c r="AG29" s="186">
        <f>IF(ABS(AF29)&lt;10,SIGN(AF29)*ERF(ABS(AF29)),SIGN(AF29))</f>
        <v>0.7427687340705764</v>
      </c>
      <c r="AH29" s="202">
        <f t="shared" si="23"/>
        <v>1.0194134404572475</v>
      </c>
      <c r="AI29" s="202">
        <f t="shared" si="24"/>
        <v>0.5828338085697753</v>
      </c>
    </row>
    <row r="30" spans="1:35" s="20" customFormat="1" ht="15" customHeight="1">
      <c r="A30" s="126">
        <f t="shared" si="30"/>
        <v>45</v>
      </c>
      <c r="B30" s="97">
        <f t="shared" si="0"/>
        <v>19.06204393716412</v>
      </c>
      <c r="C30" s="134">
        <f t="shared" si="1"/>
        <v>0.0022134</v>
      </c>
      <c r="D30" s="149">
        <f t="shared" si="2"/>
        <v>6411.810916036267</v>
      </c>
      <c r="E30" s="149">
        <f t="shared" si="3"/>
        <v>22222.222222222223</v>
      </c>
      <c r="F30" s="107">
        <f t="shared" si="25"/>
        <v>92.62971872117026</v>
      </c>
      <c r="G30" s="107">
        <f t="shared" si="4"/>
        <v>101.95139741909462</v>
      </c>
      <c r="H30" s="100">
        <f t="shared" si="5"/>
        <v>3.2500843893844458</v>
      </c>
      <c r="I30" s="97">
        <f t="shared" si="6"/>
        <v>13.498145594401896</v>
      </c>
      <c r="J30" s="97">
        <f t="shared" si="7"/>
        <v>0.9443967996676523</v>
      </c>
      <c r="K30" s="97">
        <f t="shared" si="8"/>
        <v>0</v>
      </c>
      <c r="L30" s="97">
        <f t="shared" si="9"/>
        <v>0</v>
      </c>
      <c r="M30" s="97">
        <f t="shared" si="26"/>
        <v>3.2956880288633505E-05</v>
      </c>
      <c r="N30" s="97">
        <f t="shared" si="27"/>
        <v>0.0035467464159115933</v>
      </c>
      <c r="O30" s="97">
        <f t="shared" si="10"/>
        <v>0.32359066074688636</v>
      </c>
      <c r="P30" s="97">
        <f t="shared" si="11"/>
        <v>0</v>
      </c>
      <c r="Q30" s="97">
        <f t="shared" si="12"/>
        <v>0</v>
      </c>
      <c r="R30" s="205">
        <f t="shared" si="13"/>
        <v>0.4212510829516245</v>
      </c>
      <c r="S30" s="98">
        <f t="shared" si="14"/>
        <v>17.496618473900764</v>
      </c>
      <c r="T30" s="97">
        <f t="shared" si="15"/>
        <v>14.498145594401896</v>
      </c>
      <c r="U30" s="97">
        <f t="shared" si="16"/>
        <v>3.998472879498868</v>
      </c>
      <c r="V30" s="102">
        <f t="shared" si="17"/>
        <v>-0.49661847390076375</v>
      </c>
      <c r="W30" s="103">
        <f t="shared" si="18"/>
        <v>-16.91939667735352</v>
      </c>
      <c r="X30" s="27">
        <f t="shared" si="31"/>
        <v>-0.43862366033189204</v>
      </c>
      <c r="Y30" s="18">
        <f t="shared" si="19"/>
        <v>1.3883240157599444</v>
      </c>
      <c r="Z30" s="18">
        <f t="shared" si="20"/>
        <v>1.3883240157599444</v>
      </c>
      <c r="AA30" s="216">
        <f>ERF(AH30)+ERF(AI30)-1</f>
        <v>0.4294043629577522</v>
      </c>
      <c r="AB30" s="101">
        <f t="shared" si="21"/>
        <v>17</v>
      </c>
      <c r="AC30" s="192">
        <f t="shared" si="28"/>
        <v>40</v>
      </c>
      <c r="AD30" s="193">
        <f t="shared" si="32"/>
        <v>17.9</v>
      </c>
      <c r="AE30" s="207">
        <f t="shared" si="29"/>
        <v>0</v>
      </c>
      <c r="AF30" s="161">
        <f t="shared" si="22"/>
        <v>0.7907742904524847</v>
      </c>
      <c r="AG30" s="185">
        <f>IF(ABS(AF30)&lt;10,SIGN(AF30)*ERF(ABS(AF30)),SIGN(AF30))</f>
        <v>0.7365710325358995</v>
      </c>
      <c r="AH30" s="200">
        <f t="shared" si="23"/>
        <v>1.0062441243632434</v>
      </c>
      <c r="AI30" s="200">
        <f t="shared" si="24"/>
        <v>0.5753044565417258</v>
      </c>
    </row>
    <row r="31" spans="1:35" s="26" customFormat="1" ht="15" customHeight="1">
      <c r="A31" s="127">
        <f t="shared" si="30"/>
        <v>46</v>
      </c>
      <c r="B31" s="49">
        <f t="shared" si="0"/>
        <v>19.06204393716412</v>
      </c>
      <c r="C31" s="135">
        <f t="shared" si="1"/>
        <v>0.0022134</v>
      </c>
      <c r="D31" s="150">
        <f t="shared" si="2"/>
        <v>6272.423722209392</v>
      </c>
      <c r="E31" s="150">
        <f t="shared" si="3"/>
        <v>21739.130434782608</v>
      </c>
      <c r="F31" s="108">
        <f t="shared" si="25"/>
        <v>94.09079957208753</v>
      </c>
      <c r="G31" s="108">
        <f t="shared" si="4"/>
        <v>103.28069136802773</v>
      </c>
      <c r="H31" s="50">
        <f t="shared" si="5"/>
        <v>3.3653209246709985</v>
      </c>
      <c r="I31" s="49">
        <f t="shared" si="6"/>
        <v>13.798104385388605</v>
      </c>
      <c r="J31" s="49">
        <f t="shared" si="7"/>
        <v>0.9653833952158225</v>
      </c>
      <c r="K31" s="49">
        <f t="shared" si="8"/>
        <v>0</v>
      </c>
      <c r="L31" s="49">
        <f t="shared" si="9"/>
        <v>0</v>
      </c>
      <c r="M31" s="49">
        <f t="shared" si="26"/>
        <v>3.2532702439288125E-05</v>
      </c>
      <c r="N31" s="49">
        <f t="shared" si="27"/>
        <v>0.003501060515976187</v>
      </c>
      <c r="O31" s="49">
        <f t="shared" si="10"/>
        <v>0.34799278433195713</v>
      </c>
      <c r="P31" s="49">
        <f t="shared" si="11"/>
        <v>0</v>
      </c>
      <c r="Q31" s="49">
        <f t="shared" si="12"/>
        <v>0</v>
      </c>
      <c r="R31" s="206">
        <f t="shared" si="13"/>
        <v>0.42292339414733027</v>
      </c>
      <c r="S31" s="53">
        <f t="shared" si="14"/>
        <v>17.937842549054867</v>
      </c>
      <c r="T31" s="49">
        <f t="shared" si="15"/>
        <v>14.798104385388605</v>
      </c>
      <c r="U31" s="49">
        <f t="shared" si="16"/>
        <v>4.139738163666262</v>
      </c>
      <c r="V31" s="54">
        <f t="shared" si="17"/>
        <v>-0.9378425490548672</v>
      </c>
      <c r="W31" s="99">
        <f t="shared" si="18"/>
        <v>-17.221027779535934</v>
      </c>
      <c r="X31" s="25">
        <f t="shared" si="31"/>
        <v>-0.4439971106255687</v>
      </c>
      <c r="Y31" s="23">
        <f t="shared" si="19"/>
        <v>1.3883240157599444</v>
      </c>
      <c r="Z31" s="23">
        <f t="shared" si="20"/>
        <v>1.3883240157599444</v>
      </c>
      <c r="AA31" s="214">
        <f>ERF(AH31)+ERF(AI31)-1</f>
        <v>0.41799931311969596</v>
      </c>
      <c r="AB31" s="52">
        <f t="shared" si="21"/>
        <v>17</v>
      </c>
      <c r="AC31" s="143">
        <f t="shared" si="28"/>
        <v>40</v>
      </c>
      <c r="AD31" s="144">
        <f t="shared" si="32"/>
        <v>17.9</v>
      </c>
      <c r="AE31" s="208">
        <f t="shared" si="29"/>
        <v>0</v>
      </c>
      <c r="AF31" s="162">
        <f t="shared" si="22"/>
        <v>0.7805964782656486</v>
      </c>
      <c r="AG31" s="186">
        <f>IF(ABS(AF31)&lt;10,SIGN(AF31)*ERF(ABS(AF31)),SIGN(AF31))</f>
        <v>0.7303763599084143</v>
      </c>
      <c r="AH31" s="202">
        <f t="shared" si="23"/>
        <v>0.9932930663489316</v>
      </c>
      <c r="AI31" s="202">
        <f t="shared" si="24"/>
        <v>0.5678998901823655</v>
      </c>
    </row>
    <row r="32" spans="1:35" s="26" customFormat="1" ht="15" customHeight="1">
      <c r="A32" s="127">
        <f t="shared" si="30"/>
        <v>47</v>
      </c>
      <c r="B32" s="49">
        <f t="shared" si="0"/>
        <v>19.06204393716412</v>
      </c>
      <c r="C32" s="135">
        <f t="shared" si="1"/>
        <v>0.0022134</v>
      </c>
      <c r="D32" s="150">
        <f t="shared" si="2"/>
        <v>6138.967898332596</v>
      </c>
      <c r="E32" s="150">
        <f t="shared" si="3"/>
        <v>21276.59574468085</v>
      </c>
      <c r="F32" s="108">
        <f t="shared" si="25"/>
        <v>95.56091379314974</v>
      </c>
      <c r="G32" s="108">
        <f t="shared" si="4"/>
        <v>104.62175151623514</v>
      </c>
      <c r="H32" s="50">
        <f t="shared" si="5"/>
        <v>3.4835455996745903</v>
      </c>
      <c r="I32" s="49">
        <f t="shared" si="6"/>
        <v>14.098063176375314</v>
      </c>
      <c r="J32" s="49">
        <f t="shared" si="7"/>
        <v>0.9863699907639926</v>
      </c>
      <c r="K32" s="49">
        <f t="shared" si="8"/>
        <v>0</v>
      </c>
      <c r="L32" s="49">
        <f t="shared" si="9"/>
        <v>0</v>
      </c>
      <c r="M32" s="49">
        <f t="shared" si="26"/>
        <v>3.211569249515573E-05</v>
      </c>
      <c r="N32" s="49">
        <f t="shared" si="27"/>
        <v>0.003456147569254709</v>
      </c>
      <c r="O32" s="49">
        <f t="shared" si="10"/>
        <v>0.37477501303438343</v>
      </c>
      <c r="P32" s="49">
        <f t="shared" si="11"/>
        <v>0</v>
      </c>
      <c r="Q32" s="49">
        <f t="shared" si="12"/>
        <v>0</v>
      </c>
      <c r="R32" s="206">
        <f t="shared" si="13"/>
        <v>0.4247727584983578</v>
      </c>
      <c r="S32" s="53">
        <f t="shared" si="14"/>
        <v>18.3846126951519</v>
      </c>
      <c r="T32" s="49">
        <f t="shared" si="15"/>
        <v>15.098063176375314</v>
      </c>
      <c r="U32" s="49">
        <f t="shared" si="16"/>
        <v>4.286549518776587</v>
      </c>
      <c r="V32" s="54">
        <f t="shared" si="17"/>
        <v>-1.384612695151901</v>
      </c>
      <c r="W32" s="99">
        <f t="shared" si="18"/>
        <v>-17.52283593487367</v>
      </c>
      <c r="X32" s="25">
        <f t="shared" si="31"/>
        <v>-0.44974265836084903</v>
      </c>
      <c r="Y32" s="23">
        <f t="shared" si="19"/>
        <v>1.3883240157599444</v>
      </c>
      <c r="Z32" s="23">
        <f t="shared" si="20"/>
        <v>1.3883240157599444</v>
      </c>
      <c r="AA32" s="214">
        <f>ERF(AH32)+ERF(AI32)-1</f>
        <v>0.4066007395115345</v>
      </c>
      <c r="AB32" s="52">
        <f t="shared" si="21"/>
        <v>17</v>
      </c>
      <c r="AC32" s="143">
        <f t="shared" si="28"/>
        <v>40</v>
      </c>
      <c r="AD32" s="144">
        <f t="shared" si="32"/>
        <v>17.9</v>
      </c>
      <c r="AE32" s="208">
        <f t="shared" si="29"/>
        <v>0</v>
      </c>
      <c r="AF32" s="162">
        <f t="shared" si="22"/>
        <v>0.7705906542982429</v>
      </c>
      <c r="AG32" s="186">
        <f>IF(ABS(AF32)&lt;10,SIGN(AF32)*ERF(ABS(AF32)),SIGN(AF32))</f>
        <v>0.7241895908433805</v>
      </c>
      <c r="AH32" s="202">
        <f t="shared" si="23"/>
        <v>0.9805608598290992</v>
      </c>
      <c r="AI32" s="202">
        <f t="shared" si="24"/>
        <v>0.5606204487673865</v>
      </c>
    </row>
    <row r="33" spans="1:35" s="26" customFormat="1" ht="15" customHeight="1">
      <c r="A33" s="127">
        <f t="shared" si="30"/>
        <v>48</v>
      </c>
      <c r="B33" s="49">
        <f t="shared" si="0"/>
        <v>19.06204393716412</v>
      </c>
      <c r="C33" s="135">
        <f t="shared" si="1"/>
        <v>0.0022134</v>
      </c>
      <c r="D33" s="150">
        <f t="shared" si="2"/>
        <v>6011.072733784001</v>
      </c>
      <c r="E33" s="150">
        <f t="shared" si="3"/>
        <v>20833.333333333332</v>
      </c>
      <c r="F33" s="108">
        <f t="shared" si="25"/>
        <v>97.03965082874248</v>
      </c>
      <c r="G33" s="108">
        <f t="shared" si="4"/>
        <v>105.97413117505288</v>
      </c>
      <c r="H33" s="50">
        <f t="shared" si="5"/>
        <v>3.6048251709606727</v>
      </c>
      <c r="I33" s="49">
        <f t="shared" si="6"/>
        <v>14.398021967362022</v>
      </c>
      <c r="J33" s="49">
        <f t="shared" si="7"/>
        <v>1.0073565863121625</v>
      </c>
      <c r="K33" s="49">
        <f t="shared" si="8"/>
        <v>0</v>
      </c>
      <c r="L33" s="49">
        <f t="shared" si="9"/>
        <v>0</v>
      </c>
      <c r="M33" s="49">
        <f t="shared" si="26"/>
        <v>3.170585087836011E-05</v>
      </c>
      <c r="N33" s="49">
        <f t="shared" si="27"/>
        <v>0.0034120075732685705</v>
      </c>
      <c r="O33" s="49">
        <f t="shared" si="10"/>
        <v>0.404247984964381</v>
      </c>
      <c r="P33" s="49">
        <f t="shared" si="11"/>
        <v>0</v>
      </c>
      <c r="Q33" s="49">
        <f t="shared" si="12"/>
        <v>0</v>
      </c>
      <c r="R33" s="206">
        <f t="shared" si="13"/>
        <v>0.42682073491622274</v>
      </c>
      <c r="S33" s="53">
        <f t="shared" si="14"/>
        <v>18.837327865776565</v>
      </c>
      <c r="T33" s="49">
        <f t="shared" si="15"/>
        <v>15.398021967362022</v>
      </c>
      <c r="U33" s="49">
        <f t="shared" si="16"/>
        <v>4.439305898414544</v>
      </c>
      <c r="V33" s="54">
        <f t="shared" si="17"/>
        <v>-1.8373278657765653</v>
      </c>
      <c r="W33" s="99">
        <f t="shared" si="18"/>
        <v>-17.824842702278243</v>
      </c>
      <c r="X33" s="25">
        <f t="shared" si="31"/>
        <v>-0.45592016703837324</v>
      </c>
      <c r="Y33" s="23">
        <f t="shared" si="19"/>
        <v>1.3883240157599444</v>
      </c>
      <c r="Z33" s="23">
        <f t="shared" si="20"/>
        <v>1.3883240157599444</v>
      </c>
      <c r="AA33" s="214">
        <f>ERF(AH33)+ERF(AI33)-1</f>
        <v>0.39521681090017236</v>
      </c>
      <c r="AB33" s="52">
        <f t="shared" si="21"/>
        <v>17</v>
      </c>
      <c r="AC33" s="143">
        <f t="shared" si="28"/>
        <v>40</v>
      </c>
      <c r="AD33" s="144">
        <f t="shared" si="32"/>
        <v>17.9</v>
      </c>
      <c r="AE33" s="208">
        <f t="shared" si="29"/>
        <v>0</v>
      </c>
      <c r="AF33" s="162">
        <f t="shared" si="22"/>
        <v>0.7607568286787947</v>
      </c>
      <c r="AG33" s="186">
        <f>IF(ABS(AF33)&lt;10,SIGN(AF33)*ERF(ABS(AF33)),SIGN(AF33))</f>
        <v>0.7180155582303882</v>
      </c>
      <c r="AH33" s="202">
        <f t="shared" si="23"/>
        <v>0.9680475176920902</v>
      </c>
      <c r="AI33" s="202">
        <f t="shared" si="24"/>
        <v>0.5534661396654991</v>
      </c>
    </row>
    <row r="34" spans="1:35" s="26" customFormat="1" ht="15" customHeight="1">
      <c r="A34" s="127">
        <f t="shared" si="30"/>
        <v>49</v>
      </c>
      <c r="B34" s="49">
        <f t="shared" si="0"/>
        <v>19.06204393716412</v>
      </c>
      <c r="C34" s="135">
        <f t="shared" si="1"/>
        <v>0.0022134</v>
      </c>
      <c r="D34" s="150">
        <f t="shared" si="2"/>
        <v>5888.397780033306</v>
      </c>
      <c r="E34" s="150">
        <f t="shared" si="3"/>
        <v>20408.163265306124</v>
      </c>
      <c r="F34" s="108">
        <f t="shared" si="25"/>
        <v>98.52662243303661</v>
      </c>
      <c r="G34" s="108">
        <f t="shared" si="4"/>
        <v>107.33740249048886</v>
      </c>
      <c r="H34" s="50">
        <f t="shared" si="5"/>
        <v>3.729238804390053</v>
      </c>
      <c r="I34" s="49">
        <f t="shared" si="6"/>
        <v>14.697980758348733</v>
      </c>
      <c r="J34" s="49">
        <f t="shared" si="7"/>
        <v>1.0283431818603326</v>
      </c>
      <c r="K34" s="49">
        <f t="shared" si="8"/>
        <v>0</v>
      </c>
      <c r="L34" s="49">
        <f t="shared" si="9"/>
        <v>0</v>
      </c>
      <c r="M34" s="49">
        <f t="shared" si="26"/>
        <v>3.130316107936121E-05</v>
      </c>
      <c r="N34" s="49">
        <f t="shared" si="27"/>
        <v>0.003368638702877052</v>
      </c>
      <c r="O34" s="49">
        <f t="shared" si="10"/>
        <v>0.436777297410737</v>
      </c>
      <c r="P34" s="49">
        <f t="shared" si="11"/>
        <v>0</v>
      </c>
      <c r="Q34" s="49">
        <f t="shared" si="12"/>
        <v>0</v>
      </c>
      <c r="R34" s="206">
        <f t="shared" si="13"/>
        <v>0.42908753037625136</v>
      </c>
      <c r="S34" s="53">
        <f t="shared" si="14"/>
        <v>19.296453029228648</v>
      </c>
      <c r="T34" s="49">
        <f t="shared" si="15"/>
        <v>15.697980758348733</v>
      </c>
      <c r="U34" s="49">
        <f t="shared" si="16"/>
        <v>4.598472270879915</v>
      </c>
      <c r="V34" s="54">
        <f t="shared" si="17"/>
        <v>-2.2964530292286476</v>
      </c>
      <c r="W34" s="99">
        <f t="shared" si="18"/>
        <v>-18.127068288724985</v>
      </c>
      <c r="X34" s="25">
        <f t="shared" si="31"/>
        <v>-0.462600927780759</v>
      </c>
      <c r="Y34" s="23">
        <f t="shared" si="19"/>
        <v>1.3883240157599444</v>
      </c>
      <c r="Z34" s="23">
        <f t="shared" si="20"/>
        <v>1.3883240157599444</v>
      </c>
      <c r="AA34" s="214">
        <f>ERF(AH34)+ERF(AI34)-1</f>
        <v>0.38385514542262533</v>
      </c>
      <c r="AB34" s="52">
        <f t="shared" si="21"/>
        <v>17</v>
      </c>
      <c r="AC34" s="143">
        <f t="shared" si="28"/>
        <v>40</v>
      </c>
      <c r="AD34" s="144">
        <f t="shared" si="32"/>
        <v>17.9</v>
      </c>
      <c r="AE34" s="208">
        <f t="shared" si="29"/>
        <v>0</v>
      </c>
      <c r="AF34" s="162">
        <f t="shared" si="22"/>
        <v>0.7510946052739406</v>
      </c>
      <c r="AG34" s="186">
        <f>IF(ABS(AF34)&lt;10,SIGN(AF34)*ERF(ABS(AF34)),SIGN(AF34))</f>
        <v>0.7118586126040569</v>
      </c>
      <c r="AH34" s="202">
        <f t="shared" si="23"/>
        <v>0.9557525358662949</v>
      </c>
      <c r="AI34" s="202">
        <f t="shared" si="24"/>
        <v>0.5464366746815861</v>
      </c>
    </row>
    <row r="35" spans="1:35" s="79" customFormat="1" ht="15" customHeight="1">
      <c r="A35" s="128">
        <f t="shared" si="30"/>
        <v>50</v>
      </c>
      <c r="B35" s="74">
        <f t="shared" si="0"/>
        <v>19.06204393716412</v>
      </c>
      <c r="C35" s="136">
        <f t="shared" si="1"/>
        <v>0.0022134</v>
      </c>
      <c r="D35" s="151">
        <f t="shared" si="2"/>
        <v>5770.62982443264</v>
      </c>
      <c r="E35" s="151">
        <f t="shared" si="3"/>
        <v>20000</v>
      </c>
      <c r="F35" s="109">
        <f t="shared" si="25"/>
        <v>100.02146134842991</v>
      </c>
      <c r="G35" s="109">
        <f t="shared" si="4"/>
        <v>108.71115570914749</v>
      </c>
      <c r="H35" s="75">
        <f t="shared" si="5"/>
        <v>3.856875126321473</v>
      </c>
      <c r="I35" s="74">
        <f t="shared" si="6"/>
        <v>14.99793954933544</v>
      </c>
      <c r="J35" s="74">
        <f t="shared" si="7"/>
        <v>1.0493297774085026</v>
      </c>
      <c r="K35" s="74">
        <f t="shared" si="8"/>
        <v>0</v>
      </c>
      <c r="L35" s="74">
        <f t="shared" si="9"/>
        <v>0</v>
      </c>
      <c r="M35" s="74">
        <f t="shared" si="26"/>
        <v>3.090759157219845E-05</v>
      </c>
      <c r="N35" s="74">
        <f t="shared" si="27"/>
        <v>0.0033260375167120946</v>
      </c>
      <c r="O35" s="74">
        <f t="shared" si="10"/>
        <v>0.47279545058640315</v>
      </c>
      <c r="P35" s="74">
        <f t="shared" si="11"/>
        <v>0</v>
      </c>
      <c r="Q35" s="74">
        <f t="shared" si="12"/>
        <v>0</v>
      </c>
      <c r="R35" s="204">
        <f t="shared" si="13"/>
        <v>0.43159355757805784</v>
      </c>
      <c r="S35" s="77">
        <f t="shared" si="14"/>
        <v>19.762529721338083</v>
      </c>
      <c r="T35" s="74">
        <f t="shared" si="15"/>
        <v>15.99793954933544</v>
      </c>
      <c r="U35" s="74">
        <f t="shared" si="16"/>
        <v>4.764590172002643</v>
      </c>
      <c r="V35" s="102">
        <f t="shared" si="17"/>
        <v>-2.7625297213380833</v>
      </c>
      <c r="W35" s="104">
        <f t="shared" si="18"/>
        <v>-18.4295331069135</v>
      </c>
      <c r="X35" s="78"/>
      <c r="Y35" s="74">
        <f t="shared" si="19"/>
        <v>1.3883240157599444</v>
      </c>
      <c r="Z35" s="74">
        <f t="shared" si="20"/>
        <v>1.3883240157599444</v>
      </c>
      <c r="AA35" s="163">
        <f>ERF(AH35)+ERF(AI35)-1</f>
        <v>0.37252303418656263</v>
      </c>
      <c r="AB35" s="76">
        <f t="shared" si="21"/>
        <v>17</v>
      </c>
      <c r="AC35" s="195">
        <f t="shared" si="28"/>
        <v>40</v>
      </c>
      <c r="AD35" s="196">
        <f>ROUNDUP(E9,0)-0.1</f>
        <v>17.9</v>
      </c>
      <c r="AE35" s="209">
        <f t="shared" si="29"/>
        <v>0</v>
      </c>
      <c r="AF35" s="163">
        <f t="shared" si="22"/>
        <v>0.7416032276431774</v>
      </c>
      <c r="AG35" s="188">
        <f>IF(ABS(AF35)&lt;10,SIGN(AF35)*ERF(ABS(AF35)),SIGN(AF35))</f>
        <v>0.7057228308037682</v>
      </c>
      <c r="AH35" s="199">
        <f t="shared" si="23"/>
        <v>0.9436749517966317</v>
      </c>
      <c r="AI35" s="199">
        <f t="shared" si="24"/>
        <v>0.539531503489723</v>
      </c>
    </row>
    <row r="36" spans="1:31" ht="15" customHeight="1">
      <c r="A36" s="2"/>
      <c r="B36" s="1"/>
      <c r="C36" s="1"/>
      <c r="D36" s="8"/>
      <c r="E36" s="1"/>
      <c r="F36" s="1"/>
      <c r="G36" s="2"/>
      <c r="H36" s="4"/>
      <c r="I36" s="4"/>
      <c r="J36" s="4"/>
      <c r="K36" s="4"/>
      <c r="L36" s="1"/>
      <c r="M36" s="4"/>
      <c r="N36" s="4"/>
      <c r="O36" s="4"/>
      <c r="P36" s="4"/>
      <c r="Q36" s="4"/>
      <c r="R36" s="55"/>
      <c r="S36" s="13"/>
      <c r="U36" s="13"/>
      <c r="V36" s="13"/>
      <c r="W36" s="14"/>
      <c r="AB36" s="6"/>
      <c r="AE36" s="210">
        <f>SUM(AE15:AE35)</f>
        <v>1.6369530770986298</v>
      </c>
    </row>
    <row r="37" spans="1:24" s="26" customFormat="1" ht="15" customHeight="1">
      <c r="A37" s="80" t="s">
        <v>69</v>
      </c>
      <c r="B37" s="22"/>
      <c r="C37" s="22"/>
      <c r="D37" s="21"/>
      <c r="E37" s="22"/>
      <c r="F37" s="22"/>
      <c r="G37" s="28"/>
      <c r="W37" s="31"/>
      <c r="X37" s="31"/>
    </row>
    <row r="38" spans="1:28" s="26" customFormat="1" ht="15" customHeight="1">
      <c r="A38" s="29" t="s">
        <v>120</v>
      </c>
      <c r="B38" s="22"/>
      <c r="C38" s="22"/>
      <c r="D38" s="21"/>
      <c r="E38" s="22"/>
      <c r="F38" s="22"/>
      <c r="G38" s="28"/>
      <c r="K38" s="23"/>
      <c r="L38" s="22"/>
      <c r="M38" s="23"/>
      <c r="N38" s="23"/>
      <c r="O38" s="23"/>
      <c r="P38" s="23"/>
      <c r="Q38" s="23"/>
      <c r="R38" s="59"/>
      <c r="S38" s="23"/>
      <c r="T38" s="30"/>
      <c r="U38" s="23"/>
      <c r="W38" s="31"/>
      <c r="X38" s="31"/>
      <c r="AB38" s="24"/>
    </row>
    <row r="39" spans="1:28" s="26" customFormat="1" ht="15" customHeight="1">
      <c r="A39" s="148"/>
      <c r="B39" s="168"/>
      <c r="C39" s="169"/>
      <c r="D39" s="169"/>
      <c r="E39" s="169"/>
      <c r="F39" s="169"/>
      <c r="G39" s="169"/>
      <c r="H39" s="169"/>
      <c r="I39" s="169"/>
      <c r="J39" s="169"/>
      <c r="K39" s="169"/>
      <c r="L39" s="22"/>
      <c r="M39" s="23"/>
      <c r="N39" s="23"/>
      <c r="O39" s="23"/>
      <c r="P39" s="23"/>
      <c r="Q39" s="23"/>
      <c r="R39" s="59"/>
      <c r="S39" s="23"/>
      <c r="T39" s="30"/>
      <c r="U39" s="23"/>
      <c r="W39" s="31"/>
      <c r="X39" s="31"/>
      <c r="AB39" s="24"/>
    </row>
    <row r="40" spans="1:28" s="26" customFormat="1" ht="15" customHeight="1">
      <c r="A40" s="173" t="s">
        <v>143</v>
      </c>
      <c r="B40"/>
      <c r="C40" s="22"/>
      <c r="D40" s="21"/>
      <c r="E40" s="22"/>
      <c r="F40" s="22"/>
      <c r="G40" s="28"/>
      <c r="H40" s="23"/>
      <c r="I40" s="23"/>
      <c r="J40" s="23"/>
      <c r="K40" s="23"/>
      <c r="L40" s="22"/>
      <c r="M40" s="23"/>
      <c r="N40" s="23"/>
      <c r="O40" s="23"/>
      <c r="P40" s="23"/>
      <c r="Q40" s="23"/>
      <c r="R40" s="59"/>
      <c r="S40" s="23"/>
      <c r="T40" s="30"/>
      <c r="U40" s="23"/>
      <c r="W40" s="31"/>
      <c r="X40" s="31"/>
      <c r="AB40" s="24"/>
    </row>
    <row r="41" spans="1:28" s="26" customFormat="1" ht="15" customHeight="1">
      <c r="A41" s="173"/>
      <c r="B41" s="217" t="s">
        <v>148</v>
      </c>
      <c r="C41" s="22"/>
      <c r="D41" s="21"/>
      <c r="E41" s="22"/>
      <c r="F41" s="22"/>
      <c r="G41" s="28"/>
      <c r="H41" s="23"/>
      <c r="I41" s="23"/>
      <c r="J41" s="23"/>
      <c r="K41" s="23"/>
      <c r="L41" s="22"/>
      <c r="M41" s="23"/>
      <c r="N41" s="23"/>
      <c r="O41" s="23"/>
      <c r="P41" s="23"/>
      <c r="Q41" s="23"/>
      <c r="R41" s="59"/>
      <c r="S41" s="23"/>
      <c r="T41" s="30"/>
      <c r="U41" s="23"/>
      <c r="W41" s="31"/>
      <c r="X41" s="31"/>
      <c r="AB41" s="24"/>
    </row>
    <row r="42" spans="1:28" s="26" customFormat="1" ht="15" customHeight="1">
      <c r="A42" s="173"/>
      <c r="B42" s="217" t="s">
        <v>153</v>
      </c>
      <c r="C42" s="22"/>
      <c r="D42" s="21"/>
      <c r="E42" s="22"/>
      <c r="F42" s="22"/>
      <c r="G42" s="28"/>
      <c r="H42" s="23"/>
      <c r="I42" s="23"/>
      <c r="J42" s="23"/>
      <c r="K42" s="23"/>
      <c r="L42" s="22"/>
      <c r="M42" s="23"/>
      <c r="N42" s="23"/>
      <c r="O42" s="23"/>
      <c r="P42" s="23"/>
      <c r="Q42" s="23"/>
      <c r="R42" s="59"/>
      <c r="S42" s="23"/>
      <c r="T42" s="30"/>
      <c r="U42" s="23"/>
      <c r="W42" s="31"/>
      <c r="X42" s="31"/>
      <c r="AB42" s="24"/>
    </row>
    <row r="43" spans="3:28" s="26" customFormat="1" ht="15" customHeight="1">
      <c r="C43" s="217" t="s">
        <v>154</v>
      </c>
      <c r="D43" s="21"/>
      <c r="E43" s="22"/>
      <c r="F43" s="22"/>
      <c r="G43" s="28"/>
      <c r="H43" s="23"/>
      <c r="I43" s="23"/>
      <c r="J43" s="23"/>
      <c r="K43" s="23"/>
      <c r="L43" s="22"/>
      <c r="M43" s="23"/>
      <c r="N43" s="23"/>
      <c r="O43" s="23"/>
      <c r="P43" s="23"/>
      <c r="Q43" s="23"/>
      <c r="R43" s="59"/>
      <c r="S43" s="23"/>
      <c r="T43" s="30"/>
      <c r="U43" s="23"/>
      <c r="W43" s="31"/>
      <c r="X43" s="31"/>
      <c r="AB43" s="24"/>
    </row>
    <row r="44" spans="2:28" s="26" customFormat="1" ht="15" customHeight="1">
      <c r="B44" s="26" t="s">
        <v>156</v>
      </c>
      <c r="D44" s="21"/>
      <c r="E44" s="22"/>
      <c r="F44" s="22"/>
      <c r="G44" s="28"/>
      <c r="H44" s="23"/>
      <c r="I44" s="23"/>
      <c r="J44" s="23"/>
      <c r="K44" s="23"/>
      <c r="L44" s="22"/>
      <c r="M44" s="23"/>
      <c r="N44" s="23"/>
      <c r="O44" s="23"/>
      <c r="P44" s="23"/>
      <c r="Q44" s="23"/>
      <c r="R44" s="59"/>
      <c r="S44" s="23"/>
      <c r="T44" s="30"/>
      <c r="U44" s="23"/>
      <c r="W44" s="31"/>
      <c r="X44" s="31"/>
      <c r="AB44" s="24"/>
    </row>
    <row r="45" spans="2:28" s="26" customFormat="1" ht="15" customHeight="1">
      <c r="B45" s="26" t="s">
        <v>155</v>
      </c>
      <c r="D45" s="21"/>
      <c r="E45" s="22"/>
      <c r="F45" s="22"/>
      <c r="G45" s="28"/>
      <c r="H45" s="23"/>
      <c r="I45" s="23"/>
      <c r="J45" s="23"/>
      <c r="K45" s="23"/>
      <c r="L45" s="22"/>
      <c r="M45" s="23"/>
      <c r="N45" s="23"/>
      <c r="O45" s="23"/>
      <c r="P45" s="23"/>
      <c r="Q45" s="23"/>
      <c r="R45" s="59"/>
      <c r="S45" s="23"/>
      <c r="T45" s="30"/>
      <c r="U45" s="23"/>
      <c r="W45" s="31"/>
      <c r="X45" s="31"/>
      <c r="AB45" s="24"/>
    </row>
    <row r="46" spans="1:28" ht="15" customHeight="1">
      <c r="A46" s="170"/>
      <c r="B46" s="217" t="s">
        <v>159</v>
      </c>
      <c r="D46" s="8"/>
      <c r="E46" s="244">
        <f>J9-E9</f>
        <v>-20</v>
      </c>
      <c r="F46" s="22" t="s">
        <v>158</v>
      </c>
      <c r="G46" s="28"/>
      <c r="H46" s="4"/>
      <c r="I46" s="4"/>
      <c r="J46" s="4"/>
      <c r="K46" s="4"/>
      <c r="L46" s="1"/>
      <c r="M46" s="4"/>
      <c r="N46" s="4"/>
      <c r="O46" s="4"/>
      <c r="P46" s="4"/>
      <c r="Q46" s="4"/>
      <c r="R46" s="55"/>
      <c r="S46" s="4"/>
      <c r="U46" s="4"/>
      <c r="AB46" s="6"/>
    </row>
    <row r="47" spans="1:28" ht="15" customHeight="1">
      <c r="A47" s="2"/>
      <c r="B47" s="26" t="s">
        <v>160</v>
      </c>
      <c r="C47" s="1"/>
      <c r="D47" s="245">
        <f>J2*T8+E10</f>
        <v>12.998351639468352</v>
      </c>
      <c r="E47" s="22" t="s">
        <v>161</v>
      </c>
      <c r="F47" s="1"/>
      <c r="G47" s="2"/>
      <c r="H47" s="4"/>
      <c r="I47" s="4"/>
      <c r="J47" s="4"/>
      <c r="K47" s="4"/>
      <c r="L47" s="1"/>
      <c r="M47" s="4"/>
      <c r="N47" s="1"/>
      <c r="O47" s="1"/>
      <c r="P47" s="1"/>
      <c r="Q47" s="4"/>
      <c r="R47" s="55"/>
      <c r="S47" s="4"/>
      <c r="U47" s="4"/>
      <c r="AB47" s="6"/>
    </row>
    <row r="48" spans="1:28" ht="15" customHeight="1">
      <c r="A48" s="2"/>
      <c r="B48" s="22" t="s">
        <v>157</v>
      </c>
      <c r="C48" s="1"/>
      <c r="D48" s="8"/>
      <c r="E48" s="1"/>
      <c r="F48" s="1"/>
      <c r="G48" s="2"/>
      <c r="H48" s="4"/>
      <c r="I48" s="4"/>
      <c r="J48" s="4"/>
      <c r="K48" s="4"/>
      <c r="L48" s="1"/>
      <c r="M48" s="4"/>
      <c r="N48" s="1"/>
      <c r="O48" s="1"/>
      <c r="P48" s="1"/>
      <c r="Q48" s="1"/>
      <c r="R48" s="60"/>
      <c r="S48" s="4"/>
      <c r="U48" s="4"/>
      <c r="AB48" s="6"/>
    </row>
    <row r="49" spans="1:28" ht="15" customHeight="1">
      <c r="A49" s="24"/>
      <c r="B49" s="22"/>
      <c r="C49" s="1"/>
      <c r="D49" s="8"/>
      <c r="E49" s="1"/>
      <c r="F49" s="1"/>
      <c r="G49" s="2"/>
      <c r="H49" s="4"/>
      <c r="I49" s="4"/>
      <c r="J49" s="4"/>
      <c r="K49" s="4"/>
      <c r="L49" s="1"/>
      <c r="M49" s="4"/>
      <c r="N49" s="1"/>
      <c r="O49" s="1"/>
      <c r="P49" s="1"/>
      <c r="Q49" s="4"/>
      <c r="R49" s="55"/>
      <c r="S49" s="4"/>
      <c r="U49" s="4"/>
      <c r="AB49" s="6"/>
    </row>
    <row r="50" spans="1:16" ht="15" customHeight="1">
      <c r="A50" s="15"/>
      <c r="B50" s="148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4"/>
      <c r="O50" s="4"/>
      <c r="P50" s="4"/>
    </row>
    <row r="51" spans="1:16" ht="15" customHeight="1">
      <c r="A51" s="24"/>
      <c r="B51" s="148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4"/>
      <c r="O51" s="4"/>
      <c r="P51" s="4"/>
    </row>
    <row r="52" spans="1:16" ht="15" customHeight="1">
      <c r="A52" s="15"/>
      <c r="B52" s="148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4"/>
      <c r="O52" s="4"/>
      <c r="P52" s="4"/>
    </row>
    <row r="53" spans="1:16" ht="15" customHeight="1">
      <c r="A53" s="28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4"/>
      <c r="O53" s="4"/>
      <c r="P53" s="4"/>
    </row>
    <row r="54" spans="1:16" ht="1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4"/>
      <c r="O54" s="4"/>
      <c r="P54" s="4"/>
    </row>
    <row r="55" spans="1:16" ht="1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4"/>
      <c r="O55" s="4"/>
      <c r="P55" s="4"/>
    </row>
    <row r="56" spans="1:16" ht="1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4"/>
      <c r="O56" s="4"/>
      <c r="P56" s="4"/>
    </row>
    <row r="57" spans="1:16" ht="1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4"/>
      <c r="O57" s="4"/>
      <c r="P57" s="4"/>
    </row>
    <row r="58" spans="1:16" ht="1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4"/>
      <c r="O58" s="4"/>
      <c r="P58" s="4"/>
    </row>
    <row r="59" spans="1:16" ht="1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4"/>
      <c r="O59" s="4"/>
      <c r="P59" s="4"/>
    </row>
    <row r="60" spans="1:16" ht="1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4"/>
      <c r="O60" s="4"/>
      <c r="P60" s="4"/>
    </row>
    <row r="61" spans="1:16" ht="1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4"/>
      <c r="O61" s="4"/>
      <c r="P61" s="4"/>
    </row>
    <row r="62" spans="1:16" ht="1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4"/>
      <c r="O62" s="4"/>
      <c r="P62" s="4"/>
    </row>
    <row r="63" spans="1:16" ht="1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4"/>
      <c r="O63" s="4"/>
      <c r="P63" s="4"/>
    </row>
    <row r="64" spans="1:16" ht="1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4"/>
      <c r="O64" s="4"/>
      <c r="P64" s="4"/>
    </row>
    <row r="65" spans="1:16" ht="1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4"/>
      <c r="O65" s="4"/>
      <c r="P65" s="4"/>
    </row>
    <row r="66" spans="1:16" ht="15" customHeight="1">
      <c r="A66" s="2"/>
      <c r="B66" s="1"/>
      <c r="C66" s="1"/>
      <c r="D66" s="8"/>
      <c r="E66" s="1"/>
      <c r="F66" s="1"/>
      <c r="G66" s="2"/>
      <c r="H66" s="4"/>
      <c r="I66" s="4"/>
      <c r="J66" s="4"/>
      <c r="K66" s="4"/>
      <c r="L66" s="1"/>
      <c r="M66" s="4"/>
      <c r="N66" s="4"/>
      <c r="O66" s="4"/>
      <c r="P66" s="4"/>
    </row>
    <row r="67" spans="1:16" ht="15" customHeight="1">
      <c r="A67" s="2"/>
      <c r="B67" s="1"/>
      <c r="C67" s="1"/>
      <c r="D67" s="8"/>
      <c r="E67" s="1"/>
      <c r="F67" s="1"/>
      <c r="G67" s="2"/>
      <c r="H67" s="4"/>
      <c r="I67" s="4"/>
      <c r="J67" s="4"/>
      <c r="K67" s="4"/>
      <c r="L67" s="1"/>
      <c r="M67" s="4"/>
      <c r="N67" s="4"/>
      <c r="O67" s="4"/>
      <c r="P67" s="4"/>
    </row>
    <row r="68" spans="1:16" ht="15" customHeight="1">
      <c r="A68" s="2"/>
      <c r="B68" s="1"/>
      <c r="C68" s="1"/>
      <c r="D68" s="8"/>
      <c r="E68" s="1"/>
      <c r="F68" s="1"/>
      <c r="G68" s="2"/>
      <c r="H68" s="4"/>
      <c r="I68" s="4"/>
      <c r="J68" s="4"/>
      <c r="K68" s="4"/>
      <c r="L68" s="1"/>
      <c r="M68" s="4"/>
      <c r="N68" s="4"/>
      <c r="O68" s="4"/>
      <c r="P68" s="4"/>
    </row>
    <row r="69" spans="1:16" ht="15" customHeight="1">
      <c r="A69" s="2"/>
      <c r="B69" s="1"/>
      <c r="C69" s="1"/>
      <c r="D69" s="8"/>
      <c r="E69" s="1"/>
      <c r="F69" s="1"/>
      <c r="G69" s="2"/>
      <c r="H69" s="4"/>
      <c r="I69" s="4"/>
      <c r="J69" s="4"/>
      <c r="K69" s="4"/>
      <c r="L69" s="1"/>
      <c r="M69" s="4"/>
      <c r="N69" s="4"/>
      <c r="O69" s="4"/>
      <c r="P69" s="4"/>
    </row>
    <row r="70" spans="1:16" ht="15" customHeight="1">
      <c r="A70" s="2"/>
      <c r="B70" s="1"/>
      <c r="C70" s="1"/>
      <c r="D70" s="8"/>
      <c r="E70" s="1"/>
      <c r="F70" s="1"/>
      <c r="G70" s="2"/>
      <c r="H70" s="4"/>
      <c r="I70" s="4"/>
      <c r="J70" s="4"/>
      <c r="K70" s="4"/>
      <c r="L70" s="1"/>
      <c r="M70" s="4"/>
      <c r="N70" s="4"/>
      <c r="O70" s="4"/>
      <c r="P70" s="4"/>
    </row>
    <row r="71" spans="1:16" ht="15" customHeight="1">
      <c r="A71" s="3"/>
      <c r="B71" s="4"/>
      <c r="C71" s="2"/>
      <c r="D71" s="8"/>
      <c r="E71" s="1"/>
      <c r="F71" s="1"/>
      <c r="G71" s="2"/>
      <c r="H71" s="4"/>
      <c r="I71" s="4"/>
      <c r="J71" s="4"/>
      <c r="K71" s="4"/>
      <c r="L71" s="1"/>
      <c r="M71" s="1"/>
      <c r="N71" s="1"/>
      <c r="O71" s="1"/>
      <c r="P71" s="1"/>
    </row>
    <row r="72" spans="1:16" ht="15" customHeight="1">
      <c r="A72" s="6"/>
      <c r="B72" s="1"/>
      <c r="C72" s="9"/>
      <c r="D72" s="8"/>
      <c r="E72" s="1"/>
      <c r="F72" s="1"/>
      <c r="G72" s="2"/>
      <c r="H72" s="4"/>
      <c r="I72" s="4"/>
      <c r="J72" s="4"/>
      <c r="K72" s="1"/>
      <c r="L72" s="1"/>
      <c r="M72" s="1"/>
      <c r="N72" s="1"/>
      <c r="O72" s="1"/>
      <c r="P72" s="1"/>
    </row>
    <row r="73" spans="1:16" ht="15" customHeight="1">
      <c r="A73" s="4"/>
      <c r="B73" s="4"/>
      <c r="C73" s="4"/>
      <c r="D73" s="8"/>
      <c r="E73" s="1"/>
      <c r="F73" s="1"/>
      <c r="G73" s="2"/>
      <c r="H73" s="4"/>
      <c r="I73" s="4"/>
      <c r="J73" s="4"/>
      <c r="K73" s="4"/>
      <c r="L73" s="1"/>
      <c r="M73" s="1"/>
      <c r="N73" s="1"/>
      <c r="O73" s="1"/>
      <c r="P73" s="1"/>
    </row>
    <row r="74" spans="1:16" ht="15" customHeight="1">
      <c r="A74" s="16"/>
      <c r="B74" s="3"/>
      <c r="C74" s="3"/>
      <c r="D74" s="8"/>
      <c r="E74" s="1"/>
      <c r="F74" s="1"/>
      <c r="G74" s="2"/>
      <c r="H74" s="4"/>
      <c r="I74" s="4"/>
      <c r="J74" s="4"/>
      <c r="K74" s="1"/>
      <c r="L74" s="8"/>
      <c r="M74" s="1"/>
      <c r="N74" s="1"/>
      <c r="O74" s="1"/>
      <c r="P74" s="1"/>
    </row>
    <row r="75" spans="1:16" ht="15" customHeight="1">
      <c r="A75" s="11"/>
      <c r="B75" s="3"/>
      <c r="C75" s="3"/>
      <c r="D75" s="8"/>
      <c r="E75" s="1"/>
      <c r="F75" s="1"/>
      <c r="G75" s="2"/>
      <c r="H75" s="4"/>
      <c r="I75" s="4"/>
      <c r="J75" s="4"/>
      <c r="K75" s="4"/>
      <c r="L75" s="1"/>
      <c r="M75" s="1"/>
      <c r="N75" s="1"/>
      <c r="O75" s="1"/>
      <c r="P75" s="1"/>
    </row>
    <row r="76" spans="1:16" ht="15" customHeight="1">
      <c r="A76" s="11"/>
      <c r="B76" s="3"/>
      <c r="C76" s="3"/>
      <c r="D76" s="8"/>
      <c r="E76" s="1"/>
      <c r="F76" s="1"/>
      <c r="G76" s="2"/>
      <c r="H76" s="4"/>
      <c r="I76" s="4"/>
      <c r="J76" s="4"/>
      <c r="K76" s="4"/>
      <c r="L76" s="1"/>
      <c r="M76" s="1"/>
      <c r="N76" s="1"/>
      <c r="O76" s="1"/>
      <c r="P76" s="1"/>
    </row>
    <row r="77" spans="1:16" ht="15" customHeight="1">
      <c r="A77" s="11"/>
      <c r="B77" s="3"/>
      <c r="C77" s="3"/>
      <c r="D77" s="8"/>
      <c r="E77" s="1"/>
      <c r="F77" s="1"/>
      <c r="G77" s="2"/>
      <c r="H77" s="4"/>
      <c r="I77" s="4"/>
      <c r="J77" s="4"/>
      <c r="K77" s="4"/>
      <c r="L77" s="1"/>
      <c r="M77" s="1"/>
      <c r="N77" s="1"/>
      <c r="O77" s="1"/>
      <c r="P77" s="1"/>
    </row>
    <row r="78" spans="1:16" ht="15" customHeight="1">
      <c r="A78" s="11"/>
      <c r="B78" s="3"/>
      <c r="C78" s="3"/>
      <c r="D78" s="8"/>
      <c r="E78" s="1"/>
      <c r="F78" s="1"/>
      <c r="G78" s="2"/>
      <c r="H78" s="4"/>
      <c r="I78" s="4"/>
      <c r="J78" s="4"/>
      <c r="K78" s="4"/>
      <c r="L78" s="1"/>
      <c r="M78" s="1"/>
      <c r="N78" s="1"/>
      <c r="O78" s="1"/>
      <c r="P78" s="1"/>
    </row>
    <row r="79" spans="1:16" ht="15" customHeight="1">
      <c r="A79" s="11"/>
      <c r="B79" s="3"/>
      <c r="C79" s="3"/>
      <c r="D79" s="8"/>
      <c r="E79" s="1"/>
      <c r="F79" s="1"/>
      <c r="G79" s="2"/>
      <c r="H79" s="4"/>
      <c r="I79" s="4"/>
      <c r="J79" s="4"/>
      <c r="K79" s="4"/>
      <c r="L79" s="1"/>
      <c r="M79" s="1"/>
      <c r="N79" s="1"/>
      <c r="O79" s="1"/>
      <c r="P79" s="1"/>
    </row>
    <row r="80" spans="1:16" ht="15" customHeight="1">
      <c r="A80" s="11"/>
      <c r="B80" s="3"/>
      <c r="C80" s="3"/>
      <c r="D80" s="8"/>
      <c r="E80" s="1"/>
      <c r="F80" s="1"/>
      <c r="G80" s="2"/>
      <c r="H80" s="4"/>
      <c r="I80" s="4"/>
      <c r="J80" s="4"/>
      <c r="K80" s="4"/>
      <c r="L80" s="1"/>
      <c r="M80" s="1"/>
      <c r="N80" s="1"/>
      <c r="O80" s="1"/>
      <c r="P80" s="1"/>
    </row>
    <row r="81" spans="1:16" ht="15" customHeight="1">
      <c r="A81" s="11"/>
      <c r="B81" s="3"/>
      <c r="C81" s="3"/>
      <c r="D81" s="8"/>
      <c r="E81" s="1"/>
      <c r="F81" s="1"/>
      <c r="G81" s="2"/>
      <c r="H81" s="4"/>
      <c r="I81" s="4"/>
      <c r="J81" s="4"/>
      <c r="K81" s="4"/>
      <c r="L81" s="1"/>
      <c r="M81" s="1"/>
      <c r="N81" s="1"/>
      <c r="O81" s="1"/>
      <c r="P81" s="1"/>
    </row>
    <row r="82" spans="1:16" ht="15" customHeight="1">
      <c r="A82" s="11"/>
      <c r="B82" s="3"/>
      <c r="C82" s="3"/>
      <c r="D82" s="8"/>
      <c r="E82" s="1"/>
      <c r="F82" s="1"/>
      <c r="G82" s="2"/>
      <c r="H82" s="4"/>
      <c r="I82" s="4"/>
      <c r="J82" s="4"/>
      <c r="K82" s="4"/>
      <c r="L82" s="1"/>
      <c r="M82" s="1"/>
      <c r="N82" s="1"/>
      <c r="O82" s="1"/>
      <c r="P82" s="1"/>
    </row>
    <row r="83" spans="1:16" ht="15" customHeight="1">
      <c r="A83" s="11"/>
      <c r="B83" s="3"/>
      <c r="C83" s="3"/>
      <c r="D83" s="8"/>
      <c r="E83" s="1"/>
      <c r="F83" s="1"/>
      <c r="G83" s="2"/>
      <c r="H83" s="4"/>
      <c r="I83" s="4"/>
      <c r="J83" s="4"/>
      <c r="K83" s="4"/>
      <c r="L83" s="1"/>
      <c r="M83" s="1"/>
      <c r="N83" s="1"/>
      <c r="O83" s="1"/>
      <c r="P83" s="1"/>
    </row>
    <row r="84" spans="1:16" ht="15" customHeight="1">
      <c r="A84" s="11"/>
      <c r="B84" s="3"/>
      <c r="C84" s="3"/>
      <c r="D84" s="8"/>
      <c r="E84" s="1"/>
      <c r="F84" s="1"/>
      <c r="G84" s="2"/>
      <c r="H84" s="4"/>
      <c r="I84" s="4"/>
      <c r="J84" s="4"/>
      <c r="K84" s="4"/>
      <c r="L84" s="1"/>
      <c r="M84" s="1"/>
      <c r="N84" s="1"/>
      <c r="O84" s="1"/>
      <c r="P84" s="1"/>
    </row>
    <row r="85" spans="1:16" ht="15" customHeight="1">
      <c r="A85" s="2"/>
      <c r="B85" s="1"/>
      <c r="C85" s="1"/>
      <c r="D85" s="8"/>
      <c r="E85" s="1"/>
      <c r="F85" s="1"/>
      <c r="G85" s="2"/>
      <c r="H85" s="4"/>
      <c r="I85" s="4"/>
      <c r="J85" s="4"/>
      <c r="K85" s="4"/>
      <c r="L85" s="1"/>
      <c r="M85" s="17"/>
      <c r="N85" s="4"/>
      <c r="O85" s="4"/>
      <c r="P85" s="4"/>
    </row>
    <row r="86" spans="1:16" ht="15" customHeight="1">
      <c r="A86" s="2"/>
      <c r="B86" s="1"/>
      <c r="C86" s="1"/>
      <c r="D86" s="8"/>
      <c r="E86" s="1"/>
      <c r="F86" s="1"/>
      <c r="G86" s="2"/>
      <c r="H86" s="4"/>
      <c r="I86" s="4"/>
      <c r="J86" s="4"/>
      <c r="K86" s="4"/>
      <c r="L86" s="1"/>
      <c r="M86" s="17"/>
      <c r="N86" s="4"/>
      <c r="O86" s="4"/>
      <c r="P86" s="4"/>
    </row>
    <row r="87" spans="1:16" ht="15" customHeight="1">
      <c r="A87" s="2"/>
      <c r="B87" s="1"/>
      <c r="C87" s="1"/>
      <c r="D87" s="8"/>
      <c r="E87" s="1"/>
      <c r="F87" s="1"/>
      <c r="G87" s="2"/>
      <c r="H87" s="4"/>
      <c r="I87" s="4"/>
      <c r="J87" s="4"/>
      <c r="K87" s="4"/>
      <c r="L87" s="1"/>
      <c r="M87" s="4"/>
      <c r="N87" s="4"/>
      <c r="O87" s="4"/>
      <c r="P87" s="4"/>
    </row>
    <row r="88" spans="1:16" ht="15" customHeight="1">
      <c r="A88" s="2"/>
      <c r="B88" s="1"/>
      <c r="C88" s="1"/>
      <c r="D88" s="8"/>
      <c r="E88" s="1"/>
      <c r="F88" s="1"/>
      <c r="G88" s="2"/>
      <c r="H88" s="4"/>
      <c r="I88" s="4"/>
      <c r="J88" s="4"/>
      <c r="K88" s="4"/>
      <c r="L88" s="1"/>
      <c r="M88" s="4"/>
      <c r="N88" s="4"/>
      <c r="O88" s="4"/>
      <c r="P88" s="4"/>
    </row>
    <row r="89" spans="1:16" ht="15" customHeight="1">
      <c r="A89" s="2"/>
      <c r="B89" s="1"/>
      <c r="C89" s="1"/>
      <c r="D89" s="8"/>
      <c r="E89" s="1"/>
      <c r="F89" s="1"/>
      <c r="G89" s="2"/>
      <c r="H89" s="4"/>
      <c r="I89" s="4"/>
      <c r="J89" s="4"/>
      <c r="K89" s="4"/>
      <c r="L89" s="1"/>
      <c r="M89" s="4"/>
      <c r="N89" s="4"/>
      <c r="O89" s="4"/>
      <c r="P89" s="4"/>
    </row>
    <row r="90" spans="1:16" ht="15" customHeight="1">
      <c r="A90" s="2"/>
      <c r="B90" s="1"/>
      <c r="C90" s="1"/>
      <c r="D90" s="8"/>
      <c r="E90" s="1"/>
      <c r="F90" s="1"/>
      <c r="G90" s="2"/>
      <c r="H90" s="4"/>
      <c r="I90" s="4"/>
      <c r="J90" s="4"/>
      <c r="K90" s="4"/>
      <c r="L90" s="1"/>
      <c r="M90" s="4"/>
      <c r="N90" s="4"/>
      <c r="O90" s="4"/>
      <c r="P90" s="4"/>
    </row>
    <row r="91" spans="1:16" ht="15" customHeight="1">
      <c r="A91" s="2"/>
      <c r="B91" s="1"/>
      <c r="C91" s="1"/>
      <c r="D91" s="8"/>
      <c r="E91" s="1"/>
      <c r="F91" s="1"/>
      <c r="G91" s="2"/>
      <c r="H91" s="4"/>
      <c r="I91" s="4"/>
      <c r="J91" s="4"/>
      <c r="K91" s="4"/>
      <c r="L91" s="1"/>
      <c r="M91" s="4"/>
      <c r="N91" s="4"/>
      <c r="O91" s="4"/>
      <c r="P91" s="4"/>
    </row>
    <row r="92" spans="1:16" ht="15" customHeight="1">
      <c r="A92" s="2"/>
      <c r="B92" s="1"/>
      <c r="C92" s="1"/>
      <c r="D92" s="8"/>
      <c r="E92" s="1"/>
      <c r="F92" s="1"/>
      <c r="G92" s="2"/>
      <c r="H92" s="4"/>
      <c r="I92" s="4"/>
      <c r="J92" s="4"/>
      <c r="K92" s="4"/>
      <c r="L92" s="1"/>
      <c r="M92" s="4"/>
      <c r="N92" s="4"/>
      <c r="O92" s="4"/>
      <c r="P92" s="4"/>
    </row>
    <row r="93" spans="1:16" ht="15" customHeight="1">
      <c r="A93" s="2"/>
      <c r="B93" s="1"/>
      <c r="C93" s="1"/>
      <c r="D93" s="8"/>
      <c r="E93" s="1"/>
      <c r="F93" s="1"/>
      <c r="G93" s="2"/>
      <c r="H93" s="4"/>
      <c r="I93" s="4"/>
      <c r="J93" s="4"/>
      <c r="K93" s="4"/>
      <c r="L93" s="1"/>
      <c r="M93" s="4"/>
      <c r="N93" s="4"/>
      <c r="O93" s="4"/>
      <c r="P93" s="4"/>
    </row>
    <row r="94" spans="1:16" ht="15" customHeight="1">
      <c r="A94" s="2"/>
      <c r="B94" s="1"/>
      <c r="C94" s="1"/>
      <c r="D94" s="8"/>
      <c r="E94" s="1"/>
      <c r="F94" s="1"/>
      <c r="G94" s="2"/>
      <c r="H94" s="4"/>
      <c r="I94" s="4"/>
      <c r="J94" s="4"/>
      <c r="K94" s="4"/>
      <c r="L94" s="1"/>
      <c r="M94" s="4"/>
      <c r="N94" s="4"/>
      <c r="O94" s="4"/>
      <c r="P94" s="4"/>
    </row>
    <row r="95" spans="1:16" ht="15" customHeight="1">
      <c r="A95" s="2"/>
      <c r="B95" s="1"/>
      <c r="C95" s="1"/>
      <c r="D95" s="8"/>
      <c r="E95" s="1"/>
      <c r="F95" s="1"/>
      <c r="G95" s="2"/>
      <c r="H95" s="4"/>
      <c r="I95" s="4"/>
      <c r="J95" s="4"/>
      <c r="K95" s="4"/>
      <c r="L95" s="1"/>
      <c r="M95" s="4"/>
      <c r="N95" s="4"/>
      <c r="O95" s="4"/>
      <c r="P95" s="4"/>
    </row>
    <row r="96" spans="1:16" ht="15" customHeight="1">
      <c r="A96" s="2"/>
      <c r="B96" s="1"/>
      <c r="C96" s="1"/>
      <c r="D96" s="8"/>
      <c r="E96" s="1"/>
      <c r="F96" s="1"/>
      <c r="G96" s="2"/>
      <c r="H96" s="4"/>
      <c r="I96" s="4"/>
      <c r="J96" s="4"/>
      <c r="K96" s="4"/>
      <c r="L96" s="1"/>
      <c r="M96" s="4"/>
      <c r="N96" s="4"/>
      <c r="O96" s="4"/>
      <c r="P96" s="4"/>
    </row>
    <row r="97" spans="1:16" ht="15" customHeight="1">
      <c r="A97" s="2"/>
      <c r="B97" s="1"/>
      <c r="C97" s="1"/>
      <c r="D97" s="8"/>
      <c r="E97" s="1"/>
      <c r="F97" s="1"/>
      <c r="G97" s="2"/>
      <c r="H97" s="4"/>
      <c r="I97" s="4"/>
      <c r="J97" s="4"/>
      <c r="K97" s="4"/>
      <c r="L97" s="1"/>
      <c r="M97" s="4"/>
      <c r="N97" s="4"/>
      <c r="O97" s="4"/>
      <c r="P97" s="4"/>
    </row>
  </sheetData>
  <mergeCells count="1">
    <mergeCell ref="P1:Q1"/>
  </mergeCells>
  <printOptions horizontalCentered="1"/>
  <pageMargins left="0.5" right="0.5" top="0.5" bottom="0.6" header="0.3" footer="0.4"/>
  <pageSetup fitToHeight="1" fitToWidth="1" horizontalDpi="600" verticalDpi="600" orientation="landscape" scale="69" r:id="rId2"/>
  <headerFooter alignWithMargins="0">
    <oddHeader xml:space="preserve">&amp;CSpreadsheet by Agilent Technologies&amp;R </oddHeader>
    <oddFooter>&amp;L&amp;F tab &amp;A page &amp;P of &amp;N&amp;RPrinted &amp;T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Agilent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Link Model Spreadsheet</dc:title>
  <dc:subject/>
  <dc:creator>Piers Dawe</dc:creator>
  <cp:keywords/>
  <dc:description/>
  <cp:lastModifiedBy>Robert Marsland</cp:lastModifiedBy>
  <cp:lastPrinted>2000-07-07T20:11:36Z</cp:lastPrinted>
  <dcterms:created xsi:type="dcterms:W3CDTF">1998-03-24T12:14:29Z</dcterms:created>
  <dcterms:modified xsi:type="dcterms:W3CDTF">2000-07-07T20:16:22Z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