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80" windowHeight="9180" activeTab="0"/>
  </bookViews>
  <sheets>
    <sheet name="850nm_62MMF " sheetId="1" r:id="rId1"/>
    <sheet name="850nm_50MMF " sheetId="2" r:id="rId2"/>
    <sheet name="1300nm_62MMF" sheetId="3" r:id="rId3"/>
    <sheet name="1300nm_50MMF" sheetId="4" r:id="rId4"/>
    <sheet name="1300nm_SMF " sheetId="5" r:id="rId5"/>
  </sheets>
  <definedNames>
    <definedName name="_xlnm.Print_Area" localSheetId="3">'1300nm_50MMF'!$A$1:$W$34</definedName>
    <definedName name="_xlnm.Print_Area" localSheetId="2">'1300nm_62MMF'!$A$1:$W$34</definedName>
    <definedName name="_xlnm.Print_Area" localSheetId="4">'1300nm_SMF '!$A$1:$W$34</definedName>
    <definedName name="_xlnm.Print_Area" localSheetId="1">'850nm_50MMF '!$A$1:$W$34</definedName>
    <definedName name="_xlnm.Print_Area" localSheetId="0">'850nm_62MMF '!$A$1:$W$34</definedName>
    <definedName name="PRINT_AREA_MI" localSheetId="3">'1300nm_50MMF'!$A$5:$H$29</definedName>
    <definedName name="PRINT_AREA_MI" localSheetId="2">'1300nm_62MMF'!$A$5:$H$29</definedName>
    <definedName name="PRINT_AREA_MI" localSheetId="4">'1300nm_SMF '!$A$5:$H$29</definedName>
    <definedName name="PRINT_AREA_MI" localSheetId="1">'850nm_50MMF '!$A$5:$H$29</definedName>
    <definedName name="PRINT_AREA_MI" localSheetId="0">'850nm_62MMF '!$A$5:$H$29</definedName>
    <definedName name="PRINT_AREA_MI">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<sst xmlns="http://schemas.openxmlformats.org/spreadsheetml/2006/main" count="464" uniqueCount="82">
  <si>
    <t>Del Hanson &amp; David Cunningham/ HP    Case:</t>
  </si>
  <si>
    <t>850 nm</t>
  </si>
  <si>
    <t>62MMF</t>
  </si>
  <si>
    <t>Rev.</t>
  </si>
  <si>
    <t>Input=</t>
  </si>
  <si>
    <t>Bold</t>
  </si>
  <si>
    <t>Tb(ns)=</t>
  </si>
  <si>
    <t>C_att=</t>
  </si>
  <si>
    <t>BWm(MHz*km)=</t>
  </si>
  <si>
    <t>L_start (km)=</t>
  </si>
  <si>
    <t>Ts(10-90)=</t>
  </si>
  <si>
    <t>ns</t>
  </si>
  <si>
    <t>P: Power Budget</t>
  </si>
  <si>
    <t>Uw(nm)=</t>
  </si>
  <si>
    <t>So(ps/nm^2*km)=</t>
  </si>
  <si>
    <t>L_inc (km)=</t>
  </si>
  <si>
    <t>RIN_Coef=</t>
  </si>
  <si>
    <t>C: Connection Loss</t>
  </si>
  <si>
    <t>Spec ER (dB)=</t>
  </si>
  <si>
    <t>C1=</t>
  </si>
  <si>
    <t>Rate (MBd)=</t>
  </si>
  <si>
    <t>Ts(20-80)=</t>
  </si>
  <si>
    <t>Atten (dB/km)=</t>
  </si>
  <si>
    <t>Q=</t>
  </si>
  <si>
    <t>Effective Rate (MBd)=</t>
  </si>
  <si>
    <t>RIN(dB/Hz)=</t>
  </si>
  <si>
    <t>Base Rate(MBd)=</t>
  </si>
  <si>
    <t>TP4 Eye Opening (ps)=</t>
  </si>
  <si>
    <t>Effective Rec Eye(UI)=</t>
  </si>
  <si>
    <t>MPN, k=</t>
  </si>
  <si>
    <t>Rec_BW (MHz)=</t>
  </si>
  <si>
    <t>DCD_DJ(ps)=</t>
  </si>
  <si>
    <t>Rec Eye(UI)=</t>
  </si>
  <si>
    <t>MN (dB)=</t>
  </si>
  <si>
    <t>Power Budget (dB)=</t>
  </si>
  <si>
    <t>Min Launch Pwr(dBm)=</t>
  </si>
  <si>
    <t>Ptot -(P-C)=</t>
  </si>
  <si>
    <t>dB @ Lmax</t>
  </si>
  <si>
    <t>Stressed</t>
  </si>
  <si>
    <t xml:space="preserve">         Connections (dB)=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</si>
  <si>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</si>
  <si>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</si>
  <si>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</si>
  <si>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</si>
  <si>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</si>
  <si>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</si>
  <si>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</si>
  <si>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</si>
  <si>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</si>
  <si>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</si>
  <si>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L (km)</t>
  </si>
  <si>
    <t>D2</t>
  </si>
  <si>
    <t>Tc(ns)</t>
  </si>
  <si>
    <t>Pisi</t>
  </si>
  <si>
    <t>Patt</t>
  </si>
  <si>
    <t>Beta</t>
  </si>
  <si>
    <t>SDmpn</t>
  </si>
  <si>
    <t>Pmpn</t>
  </si>
  <si>
    <t>V_rin</t>
  </si>
  <si>
    <t>Prin</t>
  </si>
  <si>
    <t>Per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</si>
  <si>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</si>
  <si>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</si>
  <si>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</si>
  <si>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</si>
  <si>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</si>
  <si>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</si>
  <si>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</si>
  <si>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</si>
  <si>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ER(dB)</t>
  </si>
  <si>
    <t>50MMF</t>
  </si>
  <si>
    <t>Uc(nm)=</t>
  </si>
  <si>
    <t>Uo(nm)=</t>
  </si>
  <si>
    <t xml:space="preserve">D1 </t>
  </si>
  <si>
    <t>(ps/(nm.km))</t>
  </si>
  <si>
    <t>BWcd(MHz)</t>
  </si>
  <si>
    <t>BWm(MHz)</t>
  </si>
  <si>
    <t>Te(ns)</t>
  </si>
  <si>
    <t xml:space="preserve"> 17/12/98</t>
  </si>
  <si>
    <t>1300nm</t>
  </si>
  <si>
    <t>SMF</t>
  </si>
  <si>
    <t>ns/MHz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</si>
</sst>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E+00"/>
  </numFmts>
  <fonts count="16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 applyAlignment="1">
      <alignment horizontal="center"/>
      <protection/>
    </xf>
    <xf numFmtId="2" fontId="3" fillId="0" borderId="0" xfId="23" applyNumberFormat="1" applyFont="1" applyAlignment="1">
      <alignment/>
      <protection/>
    </xf>
    <xf numFmtId="0" fontId="1" fillId="0" borderId="0" xfId="23" applyNumberFormat="1" applyFont="1" applyAlignment="1">
      <alignment/>
      <protection locked="0"/>
    </xf>
    <xf numFmtId="2" fontId="3" fillId="2" borderId="0" xfId="23" applyNumberFormat="1" applyFont="1" applyFill="1" applyAlignment="1">
      <alignment/>
      <protection/>
    </xf>
    <xf numFmtId="0" fontId="3" fillId="0" borderId="0" xfId="23" applyFont="1" applyAlignment="1">
      <alignment horizontal="center"/>
      <protection/>
    </xf>
    <xf numFmtId="0" fontId="4" fillId="0" borderId="0" xfId="23" applyNumberFormat="1" applyFont="1" applyAlignment="1">
      <alignment/>
      <protection locked="0"/>
    </xf>
    <xf numFmtId="0" fontId="5" fillId="0" borderId="0" xfId="23" applyFont="1" applyAlignment="1">
      <alignment horizontal="center"/>
      <protection/>
    </xf>
    <xf numFmtId="2" fontId="3" fillId="0" borderId="0" xfId="23" applyNumberFormat="1" applyFont="1" applyAlignment="1">
      <alignment horizontal="right"/>
      <protection/>
    </xf>
    <xf numFmtId="0" fontId="1" fillId="2" borderId="0" xfId="23" applyNumberFormat="1" applyFont="1" applyFill="1" applyAlignment="1">
      <alignment/>
      <protection locked="0"/>
    </xf>
    <xf numFmtId="173" fontId="5" fillId="0" borderId="0" xfId="23" applyNumberFormat="1" applyFont="1" applyAlignment="1">
      <alignment/>
      <protection/>
    </xf>
    <xf numFmtId="0" fontId="5" fillId="0" borderId="0" xfId="23" applyFont="1" applyAlignment="1">
      <alignment/>
      <protection/>
    </xf>
    <xf numFmtId="2" fontId="5" fillId="0" borderId="0" xfId="23" applyNumberFormat="1" applyFont="1" applyAlignment="1">
      <alignment/>
      <protection/>
    </xf>
    <xf numFmtId="1" fontId="5" fillId="0" borderId="0" xfId="23" applyNumberFormat="1" applyFont="1" applyAlignment="1">
      <alignment/>
      <protection/>
    </xf>
    <xf numFmtId="0" fontId="1" fillId="0" borderId="0" xfId="23" applyNumberFormat="1" applyFont="1" applyAlignment="1">
      <alignment horizontal="center"/>
      <protection locked="0"/>
    </xf>
    <xf numFmtId="1" fontId="5" fillId="0" borderId="0" xfId="23" applyNumberFormat="1" applyFont="1" applyAlignment="1">
      <alignment horizontal="right"/>
      <protection/>
    </xf>
    <xf numFmtId="2" fontId="5" fillId="2" borderId="0" xfId="23" applyNumberFormat="1" applyFont="1" applyFill="1" applyAlignment="1">
      <alignment/>
      <protection/>
    </xf>
    <xf numFmtId="0" fontId="3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1" fontId="3" fillId="0" borderId="0" xfId="23" applyNumberFormat="1" applyFont="1" applyAlignment="1">
      <alignment horizontal="center"/>
      <protection/>
    </xf>
    <xf numFmtId="1" fontId="3" fillId="2" borderId="0" xfId="23" applyNumberFormat="1" applyFont="1" applyFill="1" applyAlignment="1">
      <alignment horizontal="center"/>
      <protection/>
    </xf>
    <xf numFmtId="0" fontId="1" fillId="0" borderId="0" xfId="23" applyNumberFormat="1" applyAlignment="1">
      <alignment horizontal="center"/>
      <protection locked="0"/>
    </xf>
    <xf numFmtId="2" fontId="3" fillId="0" borderId="0" xfId="23" applyNumberFormat="1" applyFont="1" applyAlignment="1">
      <alignment horizontal="right"/>
      <protection/>
    </xf>
    <xf numFmtId="2" fontId="3" fillId="2" borderId="0" xfId="23" applyNumberFormat="1" applyFont="1" applyFill="1" applyAlignment="1">
      <alignment horizontal="center"/>
      <protection/>
    </xf>
    <xf numFmtId="0" fontId="1" fillId="0" borderId="0" xfId="23" applyAlignment="1">
      <alignment horizontal="center"/>
      <protection/>
    </xf>
    <xf numFmtId="0" fontId="3" fillId="0" borderId="0" xfId="23" applyFont="1" applyAlignment="1">
      <alignment horizontal="center" wrapText="1"/>
      <protection/>
    </xf>
    <xf numFmtId="172" fontId="3" fillId="0" borderId="0" xfId="23" applyNumberFormat="1" applyFont="1" applyAlignment="1">
      <alignment horizontal="center"/>
      <protection/>
    </xf>
    <xf numFmtId="2" fontId="3" fillId="0" borderId="0" xfId="23" applyNumberFormat="1" applyFont="1" applyAlignment="1">
      <alignment/>
      <protection/>
    </xf>
    <xf numFmtId="0" fontId="1" fillId="0" borderId="0" xfId="23" applyNumberFormat="1">
      <alignment/>
      <protection/>
    </xf>
    <xf numFmtId="0" fontId="1" fillId="0" borderId="0" xfId="23" applyNumberFormat="1" applyAlignment="1">
      <alignment horizontal="center"/>
      <protection/>
    </xf>
    <xf numFmtId="0" fontId="3" fillId="2" borderId="0" xfId="23" applyFont="1" applyFill="1" applyAlignment="1">
      <alignment/>
      <protection/>
    </xf>
    <xf numFmtId="0" fontId="3" fillId="0" borderId="0" xfId="23" applyNumberFormat="1" applyFont="1" applyAlignment="1">
      <alignment/>
      <protection/>
    </xf>
    <xf numFmtId="1" fontId="5" fillId="0" borderId="0" xfId="23" applyNumberFormat="1" applyFont="1" applyAlignment="1">
      <alignment horizontal="center"/>
      <protection/>
    </xf>
    <xf numFmtId="1" fontId="3" fillId="0" borderId="0" xfId="23" applyNumberFormat="1" applyFont="1" applyAlignment="1">
      <alignment/>
      <protection/>
    </xf>
    <xf numFmtId="2" fontId="8" fillId="0" borderId="0" xfId="23" applyNumberFormat="1" applyFont="1" applyAlignment="1">
      <alignment horizontal="right"/>
      <protection/>
    </xf>
    <xf numFmtId="0" fontId="8" fillId="0" borderId="0" xfId="23" applyFont="1" applyAlignment="1">
      <alignment/>
      <protection/>
    </xf>
    <xf numFmtId="172" fontId="8" fillId="0" borderId="0" xfId="23" applyNumberFormat="1" applyFont="1" applyAlignment="1">
      <alignment horizontal="center"/>
      <protection/>
    </xf>
    <xf numFmtId="2" fontId="8" fillId="0" borderId="0" xfId="23" applyNumberFormat="1" applyFont="1" applyAlignment="1">
      <alignment/>
      <protection/>
    </xf>
    <xf numFmtId="2" fontId="9" fillId="0" borderId="0" xfId="23" applyNumberFormat="1" applyFont="1" applyAlignment="1">
      <alignment/>
      <protection/>
    </xf>
    <xf numFmtId="2" fontId="8" fillId="2" borderId="0" xfId="23" applyNumberFormat="1" applyFont="1" applyFill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2" fontId="14" fillId="0" borderId="0" xfId="23" applyNumberFormat="1" applyFont="1" applyAlignment="1">
      <alignment/>
      <protection/>
    </xf>
    <xf numFmtId="2" fontId="10" fillId="0" borderId="0" xfId="23" applyNumberFormat="1" applyFont="1" applyAlignment="1">
      <alignment/>
      <protection/>
    </xf>
    <xf numFmtId="2" fontId="11" fillId="0" borderId="0" xfId="23" applyNumberFormat="1" applyFont="1" applyAlignment="1">
      <alignment horizontal="center"/>
      <protection/>
    </xf>
    <xf numFmtId="0" fontId="11" fillId="0" borderId="0" xfId="23" applyNumberFormat="1" applyFont="1" applyAlignment="1">
      <alignment/>
      <protection locked="0"/>
    </xf>
    <xf numFmtId="2" fontId="7" fillId="0" borderId="0" xfId="23" applyNumberFormat="1" applyFont="1" applyAlignment="1">
      <alignment horizontal="right"/>
      <protection/>
    </xf>
    <xf numFmtId="0" fontId="7" fillId="0" borderId="0" xfId="23" applyFont="1" applyAlignment="1">
      <alignment/>
      <protection/>
    </xf>
    <xf numFmtId="172" fontId="7" fillId="0" borderId="0" xfId="23" applyNumberFormat="1" applyFont="1" applyAlignment="1">
      <alignment horizontal="center"/>
      <protection/>
    </xf>
    <xf numFmtId="2" fontId="7" fillId="0" borderId="0" xfId="23" applyNumberFormat="1" applyFont="1" applyAlignment="1">
      <alignment/>
      <protection/>
    </xf>
    <xf numFmtId="2" fontId="12" fillId="0" borderId="0" xfId="23" applyNumberFormat="1" applyFont="1" applyAlignment="1">
      <alignment/>
      <protection/>
    </xf>
    <xf numFmtId="2" fontId="7" fillId="2" borderId="0" xfId="23" applyNumberFormat="1" applyFont="1" applyFill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2" fontId="15" fillId="0" borderId="0" xfId="23" applyNumberFormat="1" applyFont="1" applyAlignment="1">
      <alignment/>
      <protection/>
    </xf>
    <xf numFmtId="2" fontId="13" fillId="0" borderId="0" xfId="23" applyNumberFormat="1" applyFont="1" applyAlignment="1">
      <alignment/>
      <protection/>
    </xf>
    <xf numFmtId="2" fontId="2" fillId="0" borderId="0" xfId="23" applyNumberFormat="1" applyFont="1" applyAlignment="1">
      <alignment horizontal="center"/>
      <protection/>
    </xf>
    <xf numFmtId="2" fontId="7" fillId="0" borderId="0" xfId="23" applyNumberFormat="1" applyFont="1" applyAlignment="1">
      <alignment horizontal="center"/>
      <protection/>
    </xf>
    <xf numFmtId="0" fontId="2" fillId="0" borderId="0" xfId="23" applyNumberFormat="1" applyFont="1" applyAlignment="1">
      <alignment/>
      <protection locked="0"/>
    </xf>
    <xf numFmtId="2" fontId="8" fillId="0" borderId="0" xfId="23" applyNumberFormat="1" applyFont="1" applyAlignment="1">
      <alignment horizontal="center"/>
      <protection/>
    </xf>
    <xf numFmtId="0" fontId="11" fillId="0" borderId="0" xfId="23" applyNumberFormat="1" applyFont="1" applyAlignment="1">
      <alignment horizontal="center"/>
      <protection/>
    </xf>
    <xf numFmtId="1" fontId="6" fillId="0" borderId="0" xfId="23" applyNumberFormat="1" applyFont="1" applyAlignment="1">
      <alignment/>
      <protection/>
    </xf>
    <xf numFmtId="1" fontId="7" fillId="2" borderId="0" xfId="23" applyNumberFormat="1" applyFont="1" applyFill="1" applyAlignment="1">
      <alignment horizontal="right"/>
      <protection/>
    </xf>
    <xf numFmtId="2" fontId="7" fillId="2" borderId="0" xfId="23" applyNumberFormat="1" applyFont="1" applyFill="1" applyAlignment="1">
      <alignment horizontal="right"/>
      <protection/>
    </xf>
    <xf numFmtId="2" fontId="6" fillId="0" borderId="0" xfId="23" applyNumberFormat="1" applyFont="1" applyAlignment="1">
      <alignment horizontal="right"/>
      <protection/>
    </xf>
    <xf numFmtId="0" fontId="5" fillId="0" borderId="0" xfId="23" applyNumberFormat="1" applyFont="1" applyAlignment="1">
      <alignment/>
      <protection/>
    </xf>
    <xf numFmtId="14" fontId="3" fillId="0" borderId="0" xfId="23" applyNumberFormat="1" applyFont="1" applyAlignment="1">
      <alignment horizontal="right"/>
      <protection/>
    </xf>
    <xf numFmtId="173" fontId="8" fillId="0" borderId="0" xfId="23" applyNumberFormat="1" applyFont="1" applyAlignment="1">
      <alignment/>
      <protection/>
    </xf>
    <xf numFmtId="173" fontId="7" fillId="0" borderId="0" xfId="23" applyNumberFormat="1" applyFont="1" applyAlignme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132_5_~1" xfId="19"/>
    <cellStyle name="Normal_132_6_~1" xfId="20"/>
    <cellStyle name="Normal_132_S_~1" xfId="21"/>
    <cellStyle name="Normal_852_5_~1" xfId="22"/>
    <cellStyle name="Normal_852_6_~1" xfId="23"/>
    <cellStyle name="Normal_B" xfId="24"/>
    <cellStyle name="Normal_C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showGridLines="0" tabSelected="1" showOutlineSymbols="0" zoomScale="70" zoomScaleNormal="70" workbookViewId="0" topLeftCell="A1">
      <selection activeCell="K6" sqref="K6"/>
    </sheetView>
  </sheetViews>
  <sheetFormatPr defaultColWidth="9.140625" defaultRowHeight="12.75"/>
  <cols>
    <col min="1" max="1" width="13.421875" style="6" customWidth="1"/>
    <col min="2" max="2" width="10.7109375" style="6" customWidth="1"/>
    <col min="3" max="3" width="10.421875" style="6" customWidth="1"/>
    <col min="4" max="4" width="15.57421875" style="6" customWidth="1"/>
    <col min="5" max="5" width="10.7109375" style="6" customWidth="1"/>
    <col min="6" max="7" width="6.57421875" style="6" customWidth="1"/>
    <col min="8" max="11" width="7.7109375" style="6" customWidth="1"/>
    <col min="12" max="12" width="6.57421875" style="6" customWidth="1"/>
    <col min="13" max="16" width="7.7109375" style="6" customWidth="1"/>
    <col min="17" max="17" width="8.421875" style="12" customWidth="1"/>
    <col min="18" max="18" width="6.00390625" style="6" customWidth="1"/>
    <col min="19" max="19" width="6.57421875" style="6" customWidth="1"/>
    <col min="20" max="20" width="7.28125" style="9" customWidth="1"/>
    <col min="21" max="21" width="7.421875" style="6" customWidth="1"/>
    <col min="22" max="22" width="7.7109375" style="6" customWidth="1"/>
    <col min="23" max="23" width="11.140625" style="17" customWidth="1"/>
    <col min="24" max="24" width="8.8515625" style="17" customWidth="1"/>
    <col min="25" max="25" width="8.140625" style="6" customWidth="1"/>
    <col min="26" max="26" width="7.57421875" style="6" customWidth="1"/>
    <col min="27" max="31" width="10.00390625" style="6" customWidth="1"/>
    <col min="32" max="16384" width="11.140625" style="6" customWidth="1"/>
  </cols>
  <sheetData>
    <row r="1" spans="1:31" ht="15">
      <c r="A1" s="1" t="s">
        <v>0</v>
      </c>
      <c r="B1" s="2"/>
      <c r="C1" s="2"/>
      <c r="D1" s="2"/>
      <c r="E1" s="2" t="s">
        <v>1</v>
      </c>
      <c r="F1" s="2" t="s">
        <v>2</v>
      </c>
      <c r="G1" s="2"/>
      <c r="H1" s="67">
        <v>36146</v>
      </c>
      <c r="I1" s="4" t="s">
        <v>3</v>
      </c>
      <c r="J1" s="5"/>
      <c r="N1" s="5"/>
      <c r="O1" s="5"/>
      <c r="P1" s="5"/>
      <c r="Q1" s="7"/>
      <c r="R1" s="8"/>
      <c r="S1" s="5"/>
      <c r="U1" s="5"/>
      <c r="V1" s="2"/>
      <c r="W1" s="8"/>
      <c r="X1" s="8"/>
      <c r="Y1" s="2"/>
      <c r="Z1" s="2"/>
      <c r="AA1" s="2"/>
      <c r="AB1" s="2"/>
      <c r="AC1" s="2"/>
      <c r="AD1" s="2"/>
      <c r="AE1" s="2"/>
    </row>
    <row r="2" spans="1:31" ht="15.75">
      <c r="A2" s="3" t="s">
        <v>4</v>
      </c>
      <c r="B2" s="10" t="s">
        <v>5</v>
      </c>
      <c r="C2" s="2"/>
      <c r="D2" s="11"/>
      <c r="E2" s="2"/>
      <c r="F2" s="2"/>
      <c r="G2" s="3"/>
      <c r="I2" s="5"/>
      <c r="J2" s="5"/>
      <c r="M2" s="2"/>
      <c r="N2" s="3" t="s">
        <v>6</v>
      </c>
      <c r="O2" s="58">
        <f>1000/$O$6</f>
        <v>0.72</v>
      </c>
      <c r="R2" s="8"/>
      <c r="S2" s="5"/>
      <c r="U2" s="5"/>
      <c r="V2" s="2"/>
      <c r="W2" s="8"/>
      <c r="X2" s="8"/>
      <c r="Y2" s="2"/>
      <c r="Z2" s="2"/>
      <c r="AA2" s="2"/>
      <c r="AB2" s="2"/>
      <c r="AC2" s="2"/>
      <c r="AD2" s="2"/>
      <c r="AE2" s="2"/>
    </row>
    <row r="3" spans="1:31" ht="15" customHeight="1">
      <c r="A3" s="2"/>
      <c r="B3" s="2"/>
      <c r="C3" s="2"/>
      <c r="D3" s="2"/>
      <c r="E3" s="2"/>
      <c r="F3" s="2"/>
      <c r="G3" s="2"/>
      <c r="H3" s="2"/>
      <c r="I3" s="5"/>
      <c r="J3" s="5"/>
      <c r="K3" s="2"/>
      <c r="M3" s="2"/>
      <c r="N3" s="3" t="s">
        <v>7</v>
      </c>
      <c r="O3" s="58">
        <f>IF($B$4&gt;1000,$E$7/1.5,$E$7/3.5)</f>
        <v>1.0714285714285714</v>
      </c>
      <c r="R3" s="8"/>
      <c r="S3" s="5"/>
      <c r="U3" s="5"/>
      <c r="V3" s="2"/>
      <c r="W3" s="8"/>
      <c r="X3" s="8"/>
      <c r="Y3" s="2"/>
      <c r="Z3" s="2"/>
      <c r="AA3" s="2"/>
      <c r="AB3" s="2"/>
      <c r="AC3" s="2"/>
      <c r="AD3" s="2"/>
      <c r="AE3" s="2"/>
    </row>
    <row r="4" spans="1:31" ht="15" customHeight="1">
      <c r="A4" s="3" t="s">
        <v>71</v>
      </c>
      <c r="B4" s="66">
        <v>830</v>
      </c>
      <c r="C4" s="2"/>
      <c r="D4" s="11" t="s">
        <v>8</v>
      </c>
      <c r="E4" s="14">
        <v>160</v>
      </c>
      <c r="H4" s="2"/>
      <c r="I4" s="3" t="s">
        <v>9</v>
      </c>
      <c r="J4" s="13">
        <v>0.22</v>
      </c>
      <c r="N4" s="3" t="s">
        <v>10</v>
      </c>
      <c r="O4" s="49">
        <f>B7*1.518</f>
        <v>0.39468000000000003</v>
      </c>
      <c r="P4" s="2" t="s">
        <v>11</v>
      </c>
      <c r="Q4" s="1" t="s">
        <v>12</v>
      </c>
      <c r="R4" s="7"/>
      <c r="S4" s="5"/>
      <c r="U4" s="5"/>
      <c r="V4" s="2"/>
      <c r="W4" s="8"/>
      <c r="X4" s="8"/>
      <c r="Y4" s="2"/>
      <c r="Z4" s="2"/>
      <c r="AA4" s="2"/>
      <c r="AB4" s="2"/>
      <c r="AC4" s="2"/>
      <c r="AD4" s="2"/>
      <c r="AE4" s="2"/>
    </row>
    <row r="5" spans="1:31" ht="15" customHeight="1">
      <c r="A5" s="3" t="s">
        <v>13</v>
      </c>
      <c r="B5" s="15">
        <v>0.85</v>
      </c>
      <c r="C5" s="2"/>
      <c r="D5" s="11" t="s">
        <v>14</v>
      </c>
      <c r="E5" s="14">
        <v>0.093</v>
      </c>
      <c r="H5" s="2"/>
      <c r="I5" s="3" t="s">
        <v>15</v>
      </c>
      <c r="J5" s="13">
        <v>0.01</v>
      </c>
      <c r="K5" s="5"/>
      <c r="L5" s="2"/>
      <c r="M5" s="5"/>
      <c r="N5" s="3" t="s">
        <v>16</v>
      </c>
      <c r="O5" s="58">
        <v>0.55</v>
      </c>
      <c r="Q5" s="1" t="s">
        <v>17</v>
      </c>
      <c r="R5" s="7"/>
      <c r="U5" s="5"/>
      <c r="V5" s="2"/>
      <c r="W5" s="8"/>
      <c r="X5" s="8"/>
      <c r="Y5" s="2"/>
      <c r="Z5" s="2"/>
      <c r="AA5" s="2"/>
      <c r="AB5" s="2"/>
      <c r="AC5" s="2"/>
      <c r="AD5" s="2"/>
      <c r="AE5" s="2"/>
    </row>
    <row r="6" spans="1:31" ht="15" customHeight="1">
      <c r="A6" s="3" t="s">
        <v>18</v>
      </c>
      <c r="B6" s="14">
        <v>9</v>
      </c>
      <c r="C6" s="2"/>
      <c r="D6" s="11" t="s">
        <v>72</v>
      </c>
      <c r="E6" s="14">
        <v>1365</v>
      </c>
      <c r="H6" s="2"/>
      <c r="I6" s="3" t="s">
        <v>19</v>
      </c>
      <c r="J6" s="16">
        <v>480</v>
      </c>
      <c r="K6" s="6" t="s">
        <v>81</v>
      </c>
      <c r="M6" s="5"/>
      <c r="N6" s="11" t="s">
        <v>20</v>
      </c>
      <c r="O6" s="62">
        <f>(O7)</f>
        <v>1388.888888888889</v>
      </c>
      <c r="P6" s="8"/>
      <c r="Q6" s="5"/>
      <c r="U6" s="5"/>
      <c r="V6" s="2"/>
      <c r="W6" s="8"/>
      <c r="Z6" s="2"/>
      <c r="AA6" s="2"/>
      <c r="AB6" s="2"/>
      <c r="AC6" s="2"/>
      <c r="AD6" s="2"/>
      <c r="AE6" s="2"/>
    </row>
    <row r="7" spans="1:31" ht="15" customHeight="1">
      <c r="A7" s="3" t="s">
        <v>21</v>
      </c>
      <c r="B7" s="14">
        <v>0.26</v>
      </c>
      <c r="C7" s="2" t="s">
        <v>11</v>
      </c>
      <c r="D7" s="11" t="s">
        <v>22</v>
      </c>
      <c r="E7" s="14">
        <v>3.75</v>
      </c>
      <c r="H7" s="2"/>
      <c r="I7" s="3" t="s">
        <v>23</v>
      </c>
      <c r="J7" s="15">
        <v>7.037</v>
      </c>
      <c r="K7" s="5"/>
      <c r="M7" s="5"/>
      <c r="N7" s="11" t="s">
        <v>24</v>
      </c>
      <c r="O7" s="63">
        <f>1/((1/$E$8)-$J$9*10^-6)</f>
        <v>1388.888888888889</v>
      </c>
      <c r="P7" s="8"/>
      <c r="Q7" s="5"/>
      <c r="U7" s="5"/>
      <c r="V7" s="2"/>
      <c r="Z7" s="2"/>
      <c r="AA7" s="2"/>
      <c r="AB7" s="2"/>
      <c r="AC7" s="2"/>
      <c r="AD7" s="2"/>
      <c r="AE7" s="2"/>
    </row>
    <row r="8" spans="1:31" ht="15" customHeight="1">
      <c r="A8" s="3" t="s">
        <v>25</v>
      </c>
      <c r="B8" s="14">
        <v>-117</v>
      </c>
      <c r="C8" s="2"/>
      <c r="D8" s="3" t="s">
        <v>26</v>
      </c>
      <c r="E8" s="18">
        <v>1250</v>
      </c>
      <c r="F8" s="2"/>
      <c r="G8" s="5"/>
      <c r="H8" s="5"/>
      <c r="I8" s="11" t="s">
        <v>27</v>
      </c>
      <c r="J8" s="16">
        <f>2.5*10^5/$E$8</f>
        <v>200</v>
      </c>
      <c r="N8" s="3" t="s">
        <v>28</v>
      </c>
      <c r="O8" s="64">
        <f>(10^-6)*$J$8*$O$7</f>
        <v>0.27777777777777773</v>
      </c>
      <c r="P8" s="8"/>
      <c r="Q8" s="5"/>
      <c r="U8" s="5"/>
      <c r="V8" s="2"/>
      <c r="W8" s="8"/>
      <c r="X8" s="8"/>
      <c r="Y8" s="2"/>
      <c r="Z8" s="2"/>
      <c r="AA8" s="2"/>
      <c r="AB8" s="2"/>
      <c r="AC8" s="2"/>
      <c r="AD8" s="2"/>
      <c r="AE8" s="2"/>
    </row>
    <row r="9" spans="1:31" ht="15" customHeight="1">
      <c r="A9" s="3" t="s">
        <v>29</v>
      </c>
      <c r="B9" s="14">
        <v>0.8</v>
      </c>
      <c r="C9" s="2"/>
      <c r="D9" s="11" t="s">
        <v>30</v>
      </c>
      <c r="E9" s="14">
        <v>1000</v>
      </c>
      <c r="F9" s="2"/>
      <c r="G9" s="5"/>
      <c r="I9" s="11" t="s">
        <v>31</v>
      </c>
      <c r="J9" s="14">
        <v>80</v>
      </c>
      <c r="K9" s="5"/>
      <c r="M9" s="5"/>
      <c r="N9" s="3" t="s">
        <v>32</v>
      </c>
      <c r="O9" s="65">
        <f>(O8)</f>
        <v>0.27777777777777773</v>
      </c>
      <c r="P9" s="8"/>
      <c r="Q9" s="5"/>
      <c r="U9" s="5"/>
      <c r="V9" s="2"/>
      <c r="X9" s="8"/>
      <c r="Y9" s="2"/>
      <c r="Z9" s="2"/>
      <c r="AA9" s="2"/>
      <c r="AB9" s="2"/>
      <c r="AC9" s="2"/>
      <c r="AD9" s="2"/>
      <c r="AE9" s="2"/>
    </row>
    <row r="10" spans="1:31" ht="15" customHeight="1">
      <c r="A10" s="3" t="s">
        <v>33</v>
      </c>
      <c r="B10" s="14">
        <v>0.15</v>
      </c>
      <c r="C10" s="2"/>
      <c r="D10" s="11" t="s">
        <v>34</v>
      </c>
      <c r="E10" s="14">
        <v>7.5</v>
      </c>
      <c r="F10" s="2"/>
      <c r="G10" s="2"/>
      <c r="I10" s="11" t="s">
        <v>35</v>
      </c>
      <c r="J10" s="19">
        <v>-9.5</v>
      </c>
      <c r="M10" s="5"/>
      <c r="N10" s="3" t="s">
        <v>36</v>
      </c>
      <c r="O10" s="51" t="e">
        <f>S34-R34</f>
        <v>#NUM!</v>
      </c>
      <c r="P10" s="5" t="s">
        <v>37</v>
      </c>
      <c r="Q10" s="5"/>
      <c r="S10" s="5"/>
      <c r="U10" s="5"/>
      <c r="V10" s="2"/>
      <c r="W10" s="20" t="s">
        <v>38</v>
      </c>
      <c r="X10" s="8"/>
      <c r="Z10" s="2"/>
      <c r="AA10" s="2"/>
      <c r="AB10" s="2"/>
      <c r="AC10" s="2"/>
      <c r="AD10" s="2"/>
      <c r="AE10" s="2"/>
    </row>
    <row r="11" spans="1:31" ht="15" customHeight="1">
      <c r="A11" s="2"/>
      <c r="B11" s="2"/>
      <c r="C11" s="2"/>
      <c r="D11" s="11" t="s">
        <v>39</v>
      </c>
      <c r="E11" s="14">
        <v>1.5</v>
      </c>
      <c r="F11" s="2"/>
      <c r="G11" s="3"/>
      <c r="I11" s="3" t="s">
        <v>40</v>
      </c>
      <c r="J11" s="21">
        <v>9</v>
      </c>
      <c r="K11" s="22"/>
      <c r="L11" s="22"/>
      <c r="M11" s="22"/>
      <c r="N11" s="22"/>
      <c r="O11" s="23"/>
      <c r="P11" s="22"/>
      <c r="Q11" s="23"/>
      <c r="R11" s="22"/>
      <c r="S11" s="22"/>
      <c r="U11" s="22"/>
      <c r="V11" s="2"/>
      <c r="W11" s="20" t="s">
        <v>41</v>
      </c>
      <c r="X11" s="8" t="s">
        <v>42</v>
      </c>
      <c r="Z11" s="24" t="s">
        <v>43</v>
      </c>
      <c r="AA11" s="2"/>
      <c r="AB11" s="2"/>
      <c r="AC11" s="2"/>
      <c r="AD11" s="2"/>
      <c r="AE11" s="2"/>
    </row>
    <row r="12" spans="1:31" ht="15" customHeight="1">
      <c r="A12" s="2"/>
      <c r="B12" s="8" t="s">
        <v>73</v>
      </c>
      <c r="C12" s="8" t="s">
        <v>51</v>
      </c>
      <c r="D12" s="2"/>
      <c r="E12" s="2"/>
      <c r="F12" s="2"/>
      <c r="G12" s="3"/>
      <c r="H12" s="25" t="s">
        <v>44</v>
      </c>
      <c r="I12" s="11" t="s">
        <v>44</v>
      </c>
      <c r="J12" s="2"/>
      <c r="K12" s="5"/>
      <c r="L12" s="11" t="s">
        <v>44</v>
      </c>
      <c r="M12" s="11"/>
      <c r="N12" s="11" t="s">
        <v>44</v>
      </c>
      <c r="O12" s="11" t="s">
        <v>44</v>
      </c>
      <c r="P12" s="11" t="s">
        <v>44</v>
      </c>
      <c r="Q12" s="26" t="s">
        <v>44</v>
      </c>
      <c r="R12" s="8" t="s">
        <v>44</v>
      </c>
      <c r="S12" s="5" t="s">
        <v>44</v>
      </c>
      <c r="T12" s="4" t="s">
        <v>44</v>
      </c>
      <c r="U12" s="4" t="s">
        <v>45</v>
      </c>
      <c r="V12" s="27" t="s">
        <v>44</v>
      </c>
      <c r="W12" s="28" t="s">
        <v>46</v>
      </c>
      <c r="X12" s="8" t="s">
        <v>47</v>
      </c>
      <c r="Y12" s="24" t="s">
        <v>48</v>
      </c>
      <c r="Z12" s="8" t="s">
        <v>49</v>
      </c>
      <c r="AA12" s="2"/>
      <c r="AB12" s="2"/>
      <c r="AC12" s="2"/>
      <c r="AD12" s="2"/>
      <c r="AE12" s="2"/>
    </row>
    <row r="13" spans="1:31" ht="15" customHeight="1">
      <c r="A13" s="3" t="s">
        <v>50</v>
      </c>
      <c r="B13" s="8" t="s">
        <v>74</v>
      </c>
      <c r="C13" s="8" t="s">
        <v>74</v>
      </c>
      <c r="D13" s="29" t="s">
        <v>75</v>
      </c>
      <c r="E13" s="29" t="s">
        <v>76</v>
      </c>
      <c r="F13" s="2" t="s">
        <v>77</v>
      </c>
      <c r="G13" s="3" t="s">
        <v>52</v>
      </c>
      <c r="H13" s="25" t="s">
        <v>53</v>
      </c>
      <c r="I13" s="11" t="s">
        <v>54</v>
      </c>
      <c r="J13" s="8" t="s">
        <v>55</v>
      </c>
      <c r="K13" s="5" t="s">
        <v>56</v>
      </c>
      <c r="L13" s="11" t="s">
        <v>57</v>
      </c>
      <c r="M13" s="11" t="s">
        <v>58</v>
      </c>
      <c r="N13" s="11" t="s">
        <v>59</v>
      </c>
      <c r="O13" s="11" t="s">
        <v>60</v>
      </c>
      <c r="P13" s="11" t="s">
        <v>61</v>
      </c>
      <c r="Q13" s="26" t="s">
        <v>62</v>
      </c>
      <c r="R13" s="8" t="s">
        <v>63</v>
      </c>
      <c r="S13" s="30" t="s">
        <v>64</v>
      </c>
      <c r="T13" s="4" t="s">
        <v>65</v>
      </c>
      <c r="U13" s="5" t="s">
        <v>66</v>
      </c>
      <c r="V13" s="27" t="s">
        <v>47</v>
      </c>
      <c r="W13" s="8" t="s">
        <v>67</v>
      </c>
      <c r="X13" s="8" t="s">
        <v>68</v>
      </c>
      <c r="Y13" s="8" t="s">
        <v>69</v>
      </c>
      <c r="Z13" s="8" t="s">
        <v>69</v>
      </c>
      <c r="AA13" s="2"/>
      <c r="AB13" s="2"/>
      <c r="AC13" s="2"/>
      <c r="AD13" s="2"/>
      <c r="AE13" s="2"/>
    </row>
    <row r="14" spans="1:31" s="47" customFormat="1" ht="15" customHeight="1">
      <c r="A14" s="37">
        <f>$J$4</f>
        <v>0.22</v>
      </c>
      <c r="B14" s="40">
        <f>0.25*$E$5*$B$4*(1-($E$6/$B$4)^4)</f>
        <v>-121.86498194612899</v>
      </c>
      <c r="C14" s="68">
        <f>0.7*$E$5*$B$5</f>
        <v>0.05533499999999999</v>
      </c>
      <c r="D14" s="39">
        <f>(0.187/(A14*$B$5))*(10^6/(B14^2+C14^2)^(0.5))</f>
        <v>8205.801871395297</v>
      </c>
      <c r="E14" s="39">
        <f>$E$4/A14</f>
        <v>727.2727272727273</v>
      </c>
      <c r="F14" s="40">
        <f>SQRT(($J$6/D14)^2+($J$6/E14)^2+$O$4^2)</f>
        <v>0.7712288833509117</v>
      </c>
      <c r="G14" s="37">
        <f>SQRT(F14^2+(350/$E$9)^2)</f>
        <v>0.846932105020641</v>
      </c>
      <c r="H14" s="41">
        <f>-10*LOG10(1-1.425*EXP(-1.28*($O$2/G14)^2))</f>
        <v>3.615246213337464</v>
      </c>
      <c r="I14" s="40">
        <f>A14*$O$3*((1/(0.00094*$B$4)^4)+1.05)</f>
        <v>0.883653792030793</v>
      </c>
      <c r="J14" s="38">
        <f>(10^-6)*3.14*$O$6*B14*A14*$B$5</f>
        <v>-0.0993842779154556</v>
      </c>
      <c r="K14" s="40">
        <f>($B$9/SQRT(2))*(1-EXP(-1*J14^2))</f>
        <v>0.005559904265270146</v>
      </c>
      <c r="L14" s="40">
        <f>10*LOG10(1/SQRT(1-($J$7*K14)^2))</f>
        <v>0.0033265699453864025</v>
      </c>
      <c r="M14" s="40">
        <f>$O$5*10^6*($J$6/G14)*10^($B$8/10)</f>
        <v>0.0006219497974267319</v>
      </c>
      <c r="N14" s="40">
        <f>10*LOG10(1/SQRT(1-($J$7^2)*M14))</f>
        <v>0.06792974978665374</v>
      </c>
      <c r="O14" s="40">
        <f aca="true" t="shared" si="0" ref="O14:O34">Y14-Z14</f>
        <v>0</v>
      </c>
      <c r="P14" s="40">
        <f aca="true" t="shared" si="1" ref="P14:P34">$B$10</f>
        <v>0.15</v>
      </c>
      <c r="Q14" s="42">
        <f aca="true" t="shared" si="2" ref="Q14:Q34">-10*LOG10((2*SIN(3.1416*$O$9))/(3.1416*$O$9*(1-$O$9^2))-1)</f>
        <v>0.4458340956509569</v>
      </c>
      <c r="R14" s="43">
        <f aca="true" t="shared" si="3" ref="R14:R34">$E$10-$E$11</f>
        <v>6</v>
      </c>
      <c r="S14" s="44">
        <f aca="true" t="shared" si="4" ref="S14:S34">H14+I14+L14+N14+O14+P14+Q14</f>
        <v>5.165990420751254</v>
      </c>
      <c r="T14" s="40">
        <f aca="true" t="shared" si="5" ref="T14:T34">$E$11+I14</f>
        <v>2.3836537920307928</v>
      </c>
      <c r="U14" s="40">
        <f aca="true" t="shared" si="6" ref="U14:U34">S14-I14</f>
        <v>4.282336628720461</v>
      </c>
      <c r="V14" s="45">
        <f aca="true" t="shared" si="7" ref="V14:V34">R14-S14</f>
        <v>0.8340095792487459</v>
      </c>
      <c r="W14" s="46">
        <f aca="true" t="shared" si="8" ref="W14:W34">$J$10-T14-Q14-O14</f>
        <v>-12.329487887681749</v>
      </c>
      <c r="X14" s="43"/>
      <c r="Y14" s="40">
        <f aca="true" t="shared" si="9" ref="Y14:Y34">10*LOG10((1+10^(-($B$6/10)))/(1-10^(-($B$6/10))))</f>
        <v>1.0993211590790997</v>
      </c>
      <c r="Z14" s="40">
        <f aca="true" t="shared" si="10" ref="Z14:Z34">10*LOG10((1+10^(-($J$11/10)))/(1-10^(-($J$11/10))))</f>
        <v>1.0993211590790997</v>
      </c>
      <c r="AA14" s="38"/>
      <c r="AB14" s="38"/>
      <c r="AC14" s="38"/>
      <c r="AD14" s="38"/>
      <c r="AE14" s="38"/>
    </row>
    <row r="15" spans="1:31" s="59" customFormat="1" ht="15" customHeight="1">
      <c r="A15" s="48">
        <f aca="true" t="shared" si="11" ref="A15:A34">A14+$J$5</f>
        <v>0.23</v>
      </c>
      <c r="B15" s="51">
        <f aca="true" t="shared" si="12" ref="B15:B34">0.25*$E$5*$B$4*(1-($E$6/$B$4)^4)</f>
        <v>-121.86498194612899</v>
      </c>
      <c r="C15" s="69">
        <f aca="true" t="shared" si="13" ref="C15:C34">0.7*$E$5*$B$5</f>
        <v>0.05533499999999999</v>
      </c>
      <c r="D15" s="50">
        <f aca="true" t="shared" si="14" ref="D15:D34">(0.187/(A15*$B$5))*(10^6/(B15^2+C15^2)^(0.5))</f>
        <v>7849.0278769868055</v>
      </c>
      <c r="E15" s="50">
        <f aca="true" t="shared" si="15" ref="E15:E34">$E$4/A15</f>
        <v>695.6521739130435</v>
      </c>
      <c r="F15" s="51">
        <f aca="true" t="shared" si="16" ref="F15:F34">SQRT(($J$6/D15)^2+($J$6/E15)^2+$O$4^2)</f>
        <v>0.7972528599347374</v>
      </c>
      <c r="G15" s="48">
        <f aca="true" t="shared" si="17" ref="G15:G34">SQRT(F15^2+(350/$E$9)^2)</f>
        <v>0.8706963435515954</v>
      </c>
      <c r="H15" s="52">
        <f aca="true" t="shared" si="18" ref="H15:H34">-10*LOG10(1-1.425*EXP(-1.28*($O$2/G15)^2))</f>
        <v>3.9133347118295236</v>
      </c>
      <c r="I15" s="51">
        <f aca="true" t="shared" si="19" ref="I15:I34">A15*$O$3*((1/(0.00094*$B$4)^4)+1.05)</f>
        <v>0.9238198734867381</v>
      </c>
      <c r="J15" s="49">
        <f aca="true" t="shared" si="20" ref="J15:J34">(10^-6)*3.14*$O$6*B15*A15*$B$5</f>
        <v>-0.10390174509343084</v>
      </c>
      <c r="K15" s="51">
        <f aca="true" t="shared" si="21" ref="K15:K34">($B$9/SQRT(2))*(1-EXP(-1*J15^2))</f>
        <v>0.006074052663095874</v>
      </c>
      <c r="L15" s="51">
        <f aca="true" t="shared" si="22" ref="L15:L34">10*LOG10(1/SQRT(1-($J$7*K15)^2))</f>
        <v>0.003970850607856001</v>
      </c>
      <c r="M15" s="51">
        <f aca="true" t="shared" si="23" ref="M15:M34">$O$5*10^6*($J$6/G15)*10^($B$8/10)</f>
        <v>0.0006049746907207143</v>
      </c>
      <c r="N15" s="51">
        <f aca="true" t="shared" si="24" ref="N15:N34">10*LOG10(1/SQRT(1-($J$7^2)*M15))</f>
        <v>0.06604722971676183</v>
      </c>
      <c r="O15" s="51">
        <f t="shared" si="0"/>
        <v>0</v>
      </c>
      <c r="P15" s="51">
        <f t="shared" si="1"/>
        <v>0.15</v>
      </c>
      <c r="Q15" s="53">
        <f t="shared" si="2"/>
        <v>0.4458340956509569</v>
      </c>
      <c r="R15" s="54">
        <f t="shared" si="3"/>
        <v>6</v>
      </c>
      <c r="S15" s="55">
        <f t="shared" si="4"/>
        <v>5.503006761291838</v>
      </c>
      <c r="T15" s="51">
        <f t="shared" si="5"/>
        <v>2.423819873486738</v>
      </c>
      <c r="U15" s="51">
        <f t="shared" si="6"/>
        <v>4.5791868878051</v>
      </c>
      <c r="V15" s="56">
        <f t="shared" si="7"/>
        <v>0.49699323870816237</v>
      </c>
      <c r="W15" s="57">
        <f t="shared" si="8"/>
        <v>-12.369653969137696</v>
      </c>
      <c r="X15" s="58">
        <f aca="true" t="shared" si="25" ref="X15:X33">(V16-V14)/2</f>
        <v>-0.3450640270243377</v>
      </c>
      <c r="Y15" s="51">
        <f t="shared" si="9"/>
        <v>1.0993211590790997</v>
      </c>
      <c r="Z15" s="51">
        <f t="shared" si="10"/>
        <v>1.0993211590790997</v>
      </c>
      <c r="AA15" s="49"/>
      <c r="AB15" s="49"/>
      <c r="AC15" s="49"/>
      <c r="AD15" s="49"/>
      <c r="AE15" s="49"/>
    </row>
    <row r="16" spans="1:31" s="59" customFormat="1" ht="15" customHeight="1">
      <c r="A16" s="48">
        <f t="shared" si="11"/>
        <v>0.24000000000000002</v>
      </c>
      <c r="B16" s="51">
        <f t="shared" si="12"/>
        <v>-121.86498194612899</v>
      </c>
      <c r="C16" s="69">
        <f t="shared" si="13"/>
        <v>0.05533499999999999</v>
      </c>
      <c r="D16" s="50">
        <f t="shared" si="14"/>
        <v>7521.985048779022</v>
      </c>
      <c r="E16" s="50">
        <f t="shared" si="15"/>
        <v>666.6666666666666</v>
      </c>
      <c r="F16" s="51">
        <f t="shared" si="16"/>
        <v>0.823555944693879</v>
      </c>
      <c r="G16" s="48">
        <f t="shared" si="17"/>
        <v>0.8948432231629334</v>
      </c>
      <c r="H16" s="52">
        <f t="shared" si="18"/>
        <v>4.227355992322557</v>
      </c>
      <c r="I16" s="51">
        <f t="shared" si="19"/>
        <v>0.9639859549426834</v>
      </c>
      <c r="J16" s="49">
        <f t="shared" si="20"/>
        <v>-0.1084192122714061</v>
      </c>
      <c r="K16" s="51">
        <f t="shared" si="21"/>
        <v>0.006610548233300557</v>
      </c>
      <c r="L16" s="51">
        <f t="shared" si="22"/>
        <v>0.004704079984215122</v>
      </c>
      <c r="M16" s="51">
        <f t="shared" si="23"/>
        <v>0.0005886497629047502</v>
      </c>
      <c r="N16" s="51">
        <f t="shared" si="24"/>
        <v>0.06423835189951702</v>
      </c>
      <c r="O16" s="51">
        <f t="shared" si="0"/>
        <v>0</v>
      </c>
      <c r="P16" s="51">
        <f t="shared" si="1"/>
        <v>0.15</v>
      </c>
      <c r="Q16" s="53">
        <f t="shared" si="2"/>
        <v>0.4458340956509569</v>
      </c>
      <c r="R16" s="54">
        <f t="shared" si="3"/>
        <v>6</v>
      </c>
      <c r="S16" s="55">
        <f t="shared" si="4"/>
        <v>5.8561184747999295</v>
      </c>
      <c r="T16" s="51">
        <f t="shared" si="5"/>
        <v>2.4639859549426832</v>
      </c>
      <c r="U16" s="51">
        <f t="shared" si="6"/>
        <v>4.892132519857246</v>
      </c>
      <c r="V16" s="56">
        <f t="shared" si="7"/>
        <v>0.14388152520007047</v>
      </c>
      <c r="W16" s="57">
        <f t="shared" si="8"/>
        <v>-12.40982005059364</v>
      </c>
      <c r="X16" s="58">
        <f t="shared" si="25"/>
        <v>-0.36161637040969685</v>
      </c>
      <c r="Y16" s="51">
        <f t="shared" si="9"/>
        <v>1.0993211590790997</v>
      </c>
      <c r="Z16" s="51">
        <f t="shared" si="10"/>
        <v>1.0993211590790997</v>
      </c>
      <c r="AA16" s="49"/>
      <c r="AB16" s="49"/>
      <c r="AC16" s="49"/>
      <c r="AD16" s="49"/>
      <c r="AE16" s="49"/>
    </row>
    <row r="17" spans="1:26" s="59" customFormat="1" ht="15" customHeight="1">
      <c r="A17" s="48">
        <f t="shared" si="11"/>
        <v>0.25</v>
      </c>
      <c r="B17" s="51">
        <f t="shared" si="12"/>
        <v>-121.86498194612899</v>
      </c>
      <c r="C17" s="69">
        <f t="shared" si="13"/>
        <v>0.05533499999999999</v>
      </c>
      <c r="D17" s="50">
        <f t="shared" si="14"/>
        <v>7221.105646827861</v>
      </c>
      <c r="E17" s="50">
        <f t="shared" si="15"/>
        <v>640</v>
      </c>
      <c r="F17" s="51">
        <f t="shared" si="16"/>
        <v>0.8501122305991267</v>
      </c>
      <c r="G17" s="48">
        <f t="shared" si="17"/>
        <v>0.9193425937126065</v>
      </c>
      <c r="H17" s="52">
        <f t="shared" si="18"/>
        <v>4.558217768358636</v>
      </c>
      <c r="I17" s="51">
        <f t="shared" si="19"/>
        <v>1.0041520363986283</v>
      </c>
      <c r="J17" s="49">
        <f t="shared" si="20"/>
        <v>-0.11293667944938135</v>
      </c>
      <c r="K17" s="51">
        <f t="shared" si="21"/>
        <v>0.007169325779535513</v>
      </c>
      <c r="L17" s="51">
        <f t="shared" si="22"/>
        <v>0.005534002250138316</v>
      </c>
      <c r="M17" s="51">
        <f t="shared" si="23"/>
        <v>0.0005729629571763853</v>
      </c>
      <c r="N17" s="51">
        <f t="shared" si="24"/>
        <v>0.06250159945287047</v>
      </c>
      <c r="O17" s="51">
        <f t="shared" si="0"/>
        <v>0</v>
      </c>
      <c r="P17" s="51">
        <f t="shared" si="1"/>
        <v>0.15</v>
      </c>
      <c r="Q17" s="53">
        <f t="shared" si="2"/>
        <v>0.4458340956509569</v>
      </c>
      <c r="R17" s="54">
        <f t="shared" si="3"/>
        <v>6</v>
      </c>
      <c r="S17" s="55">
        <f t="shared" si="4"/>
        <v>6.226239502111231</v>
      </c>
      <c r="T17" s="51">
        <f t="shared" si="5"/>
        <v>2.5041520363986285</v>
      </c>
      <c r="U17" s="51">
        <f t="shared" si="6"/>
        <v>5.222087465712603</v>
      </c>
      <c r="V17" s="56">
        <f t="shared" si="7"/>
        <v>-0.22623950211123134</v>
      </c>
      <c r="W17" s="57">
        <f t="shared" si="8"/>
        <v>-12.449986132049586</v>
      </c>
      <c r="X17" s="58">
        <f t="shared" si="25"/>
        <v>-0.37922658937469134</v>
      </c>
      <c r="Y17" s="51">
        <f t="shared" si="9"/>
        <v>1.0993211590790997</v>
      </c>
      <c r="Z17" s="51">
        <f t="shared" si="10"/>
        <v>1.0993211590790997</v>
      </c>
    </row>
    <row r="18" spans="1:26" s="59" customFormat="1" ht="15" customHeight="1">
      <c r="A18" s="48">
        <f t="shared" si="11"/>
        <v>0.26</v>
      </c>
      <c r="B18" s="51">
        <f t="shared" si="12"/>
        <v>-121.86498194612899</v>
      </c>
      <c r="C18" s="69">
        <f t="shared" si="13"/>
        <v>0.05533499999999999</v>
      </c>
      <c r="D18" s="50">
        <f t="shared" si="14"/>
        <v>6943.370814257559</v>
      </c>
      <c r="E18" s="50">
        <f t="shared" si="15"/>
        <v>615.3846153846154</v>
      </c>
      <c r="F18" s="51">
        <f t="shared" si="16"/>
        <v>0.8768987138745861</v>
      </c>
      <c r="G18" s="48">
        <f t="shared" si="17"/>
        <v>0.9441670161549296</v>
      </c>
      <c r="H18" s="52">
        <f t="shared" si="18"/>
        <v>4.907115725079453</v>
      </c>
      <c r="I18" s="51">
        <f t="shared" si="19"/>
        <v>1.0443181178545735</v>
      </c>
      <c r="J18" s="49">
        <f t="shared" si="20"/>
        <v>-0.11745414662735659</v>
      </c>
      <c r="K18" s="51">
        <f t="shared" si="21"/>
        <v>0.00775031744236681</v>
      </c>
      <c r="L18" s="51">
        <f t="shared" si="22"/>
        <v>0.006468671640029021</v>
      </c>
      <c r="M18" s="51">
        <f t="shared" si="23"/>
        <v>0.0005578983825308173</v>
      </c>
      <c r="N18" s="51">
        <f t="shared" si="24"/>
        <v>0.06083504332429937</v>
      </c>
      <c r="O18" s="51">
        <f t="shared" si="0"/>
        <v>0</v>
      </c>
      <c r="P18" s="51">
        <f t="shared" si="1"/>
        <v>0.15</v>
      </c>
      <c r="Q18" s="53">
        <f t="shared" si="2"/>
        <v>0.4458340956509569</v>
      </c>
      <c r="R18" s="54">
        <f t="shared" si="3"/>
        <v>6</v>
      </c>
      <c r="S18" s="55">
        <f t="shared" si="4"/>
        <v>6.614571653549312</v>
      </c>
      <c r="T18" s="51">
        <f t="shared" si="5"/>
        <v>2.5443181178545737</v>
      </c>
      <c r="U18" s="51">
        <f t="shared" si="6"/>
        <v>5.5702535356947385</v>
      </c>
      <c r="V18" s="56">
        <f t="shared" si="7"/>
        <v>-0.6145716535493122</v>
      </c>
      <c r="W18" s="57">
        <f t="shared" si="8"/>
        <v>-12.49015221350553</v>
      </c>
      <c r="X18" s="58">
        <f t="shared" si="25"/>
        <v>-0.398216039968891</v>
      </c>
      <c r="Y18" s="51">
        <f t="shared" si="9"/>
        <v>1.0993211590790997</v>
      </c>
      <c r="Z18" s="51">
        <f t="shared" si="10"/>
        <v>1.0993211590790997</v>
      </c>
    </row>
    <row r="19" spans="1:26" s="47" customFormat="1" ht="15" customHeight="1">
      <c r="A19" s="37">
        <f t="shared" si="11"/>
        <v>0.27</v>
      </c>
      <c r="B19" s="40">
        <f t="shared" si="12"/>
        <v>-121.86498194612899</v>
      </c>
      <c r="C19" s="68">
        <f t="shared" si="13"/>
        <v>0.05533499999999999</v>
      </c>
      <c r="D19" s="39">
        <f t="shared" si="14"/>
        <v>6686.20893224802</v>
      </c>
      <c r="E19" s="39">
        <f t="shared" si="15"/>
        <v>592.5925925925926</v>
      </c>
      <c r="F19" s="40">
        <f t="shared" si="16"/>
        <v>0.903894929393162</v>
      </c>
      <c r="G19" s="37">
        <f t="shared" si="17"/>
        <v>0.9692915162027723</v>
      </c>
      <c r="H19" s="41">
        <f t="shared" si="18"/>
        <v>5.27560037296877</v>
      </c>
      <c r="I19" s="40">
        <f t="shared" si="19"/>
        <v>1.0844841993105188</v>
      </c>
      <c r="J19" s="38">
        <f t="shared" si="20"/>
        <v>-0.12197161380533186</v>
      </c>
      <c r="K19" s="40">
        <f t="shared" si="21"/>
        <v>0.008353452713009796</v>
      </c>
      <c r="L19" s="40">
        <f t="shared" si="22"/>
        <v>0.007516451907950981</v>
      </c>
      <c r="M19" s="40">
        <f t="shared" si="23"/>
        <v>0.0005434373894195822</v>
      </c>
      <c r="N19" s="40">
        <f t="shared" si="24"/>
        <v>0.05923646221081544</v>
      </c>
      <c r="O19" s="40">
        <f t="shared" si="0"/>
        <v>0</v>
      </c>
      <c r="P19" s="40">
        <f t="shared" si="1"/>
        <v>0.15</v>
      </c>
      <c r="Q19" s="42">
        <f t="shared" si="2"/>
        <v>0.4458340956509569</v>
      </c>
      <c r="R19" s="43">
        <f t="shared" si="3"/>
        <v>6</v>
      </c>
      <c r="S19" s="44">
        <f t="shared" si="4"/>
        <v>7.022671582049013</v>
      </c>
      <c r="T19" s="40">
        <f t="shared" si="5"/>
        <v>2.584484199310519</v>
      </c>
      <c r="U19" s="40">
        <f t="shared" si="6"/>
        <v>5.938187382738494</v>
      </c>
      <c r="V19" s="45">
        <f t="shared" si="7"/>
        <v>-1.0226715820490133</v>
      </c>
      <c r="W19" s="46">
        <f t="shared" si="8"/>
        <v>-12.530318294961477</v>
      </c>
      <c r="X19" s="60">
        <f t="shared" si="25"/>
        <v>-0.41898402087618747</v>
      </c>
      <c r="Y19" s="40">
        <f t="shared" si="9"/>
        <v>1.0993211590790997</v>
      </c>
      <c r="Z19" s="40">
        <f t="shared" si="10"/>
        <v>1.0993211590790997</v>
      </c>
    </row>
    <row r="20" spans="1:26" s="59" customFormat="1" ht="15" customHeight="1">
      <c r="A20" s="48">
        <f t="shared" si="11"/>
        <v>0.28</v>
      </c>
      <c r="B20" s="51">
        <f t="shared" si="12"/>
        <v>-121.86498194612899</v>
      </c>
      <c r="C20" s="69">
        <f t="shared" si="13"/>
        <v>0.05533499999999999</v>
      </c>
      <c r="D20" s="50">
        <f t="shared" si="14"/>
        <v>6447.415756096305</v>
      </c>
      <c r="E20" s="50">
        <f t="shared" si="15"/>
        <v>571.4285714285713</v>
      </c>
      <c r="F20" s="51">
        <f t="shared" si="16"/>
        <v>0.9310826341294962</v>
      </c>
      <c r="G20" s="48">
        <f t="shared" si="17"/>
        <v>0.9946933555511072</v>
      </c>
      <c r="H20" s="52">
        <f t="shared" si="18"/>
        <v>5.665665864210298</v>
      </c>
      <c r="I20" s="51">
        <f t="shared" si="19"/>
        <v>1.124650280766464</v>
      </c>
      <c r="J20" s="49">
        <f t="shared" si="20"/>
        <v>-0.1264890809833071</v>
      </c>
      <c r="K20" s="51">
        <f t="shared" si="21"/>
        <v>0.008978658447589757</v>
      </c>
      <c r="L20" s="51">
        <f t="shared" si="22"/>
        <v>0.008686016139310781</v>
      </c>
      <c r="M20" s="51">
        <f t="shared" si="23"/>
        <v>0.0005295594347867532</v>
      </c>
      <c r="N20" s="51">
        <f t="shared" si="24"/>
        <v>0.05770343853465625</v>
      </c>
      <c r="O20" s="51">
        <f t="shared" si="0"/>
        <v>0</v>
      </c>
      <c r="P20" s="51">
        <f t="shared" si="1"/>
        <v>0.15</v>
      </c>
      <c r="Q20" s="53">
        <f t="shared" si="2"/>
        <v>0.4458340956509569</v>
      </c>
      <c r="R20" s="54">
        <f t="shared" si="3"/>
        <v>6</v>
      </c>
      <c r="S20" s="55">
        <f t="shared" si="4"/>
        <v>7.452539695301687</v>
      </c>
      <c r="T20" s="51">
        <f t="shared" si="5"/>
        <v>2.6246502807664642</v>
      </c>
      <c r="U20" s="51">
        <f t="shared" si="6"/>
        <v>6.327889414535223</v>
      </c>
      <c r="V20" s="56">
        <f t="shared" si="7"/>
        <v>-1.4525396953016871</v>
      </c>
      <c r="W20" s="57">
        <f t="shared" si="8"/>
        <v>-12.57048437641742</v>
      </c>
      <c r="X20" s="58">
        <f t="shared" si="25"/>
        <v>-0.4420349631260798</v>
      </c>
      <c r="Y20" s="51">
        <f t="shared" si="9"/>
        <v>1.0993211590790997</v>
      </c>
      <c r="Z20" s="51">
        <f t="shared" si="10"/>
        <v>1.0993211590790997</v>
      </c>
    </row>
    <row r="21" spans="1:26" s="59" customFormat="1" ht="15" customHeight="1">
      <c r="A21" s="48">
        <f t="shared" si="11"/>
        <v>0.29000000000000004</v>
      </c>
      <c r="B21" s="51">
        <f t="shared" si="12"/>
        <v>-121.86498194612899</v>
      </c>
      <c r="C21" s="69">
        <f t="shared" si="13"/>
        <v>0.05533499999999999</v>
      </c>
      <c r="D21" s="50">
        <f t="shared" si="14"/>
        <v>6225.091074851604</v>
      </c>
      <c r="E21" s="50">
        <f t="shared" si="15"/>
        <v>551.7241379310344</v>
      </c>
      <c r="F21" s="51">
        <f t="shared" si="16"/>
        <v>0.9584455326096827</v>
      </c>
      <c r="G21" s="48">
        <f t="shared" si="17"/>
        <v>1.0203518211771165</v>
      </c>
      <c r="H21" s="52">
        <f t="shared" si="18"/>
        <v>6.079871269033327</v>
      </c>
      <c r="I21" s="51">
        <f t="shared" si="19"/>
        <v>1.164816362222409</v>
      </c>
      <c r="J21" s="49">
        <f t="shared" si="20"/>
        <v>-0.13100654816128238</v>
      </c>
      <c r="K21" s="51">
        <f t="shared" si="21"/>
        <v>0.00962585888192552</v>
      </c>
      <c r="L21" s="51">
        <f t="shared" si="22"/>
        <v>0.009986346955380546</v>
      </c>
      <c r="M21" s="51">
        <f t="shared" si="23"/>
        <v>0.0005162427706005418</v>
      </c>
      <c r="N21" s="51">
        <f t="shared" si="24"/>
        <v>0.056233434439098916</v>
      </c>
      <c r="O21" s="51">
        <f t="shared" si="0"/>
        <v>0</v>
      </c>
      <c r="P21" s="51">
        <f t="shared" si="1"/>
        <v>0.15</v>
      </c>
      <c r="Q21" s="53">
        <f t="shared" si="2"/>
        <v>0.4458340956509569</v>
      </c>
      <c r="R21" s="54">
        <f t="shared" si="3"/>
        <v>6</v>
      </c>
      <c r="S21" s="55">
        <f t="shared" si="4"/>
        <v>7.906741508301173</v>
      </c>
      <c r="T21" s="51">
        <f t="shared" si="5"/>
        <v>2.664816362222409</v>
      </c>
      <c r="U21" s="51">
        <f t="shared" si="6"/>
        <v>6.7419251460787635</v>
      </c>
      <c r="V21" s="56">
        <f t="shared" si="7"/>
        <v>-1.906741508301173</v>
      </c>
      <c r="W21" s="57">
        <f t="shared" si="8"/>
        <v>-12.610650457873366</v>
      </c>
      <c r="X21" s="58">
        <f t="shared" si="25"/>
        <v>-0.4680189987911505</v>
      </c>
      <c r="Y21" s="51">
        <f t="shared" si="9"/>
        <v>1.0993211590790997</v>
      </c>
      <c r="Z21" s="51">
        <f t="shared" si="10"/>
        <v>1.0993211590790997</v>
      </c>
    </row>
    <row r="22" spans="1:26" s="59" customFormat="1" ht="15" customHeight="1">
      <c r="A22" s="48">
        <f t="shared" si="11"/>
        <v>0.30000000000000004</v>
      </c>
      <c r="B22" s="51">
        <f t="shared" si="12"/>
        <v>-121.86498194612899</v>
      </c>
      <c r="C22" s="69">
        <f t="shared" si="13"/>
        <v>0.05533499999999999</v>
      </c>
      <c r="D22" s="50">
        <f t="shared" si="14"/>
        <v>6017.588039023218</v>
      </c>
      <c r="E22" s="50">
        <f t="shared" si="15"/>
        <v>533.3333333333333</v>
      </c>
      <c r="F22" s="51">
        <f t="shared" si="16"/>
        <v>0.9859690388589699</v>
      </c>
      <c r="G22" s="48">
        <f t="shared" si="17"/>
        <v>1.0462480325374481</v>
      </c>
      <c r="H22" s="52">
        <f t="shared" si="18"/>
        <v>6.521510565106992</v>
      </c>
      <c r="I22" s="51">
        <f t="shared" si="19"/>
        <v>1.204982443678354</v>
      </c>
      <c r="J22" s="49">
        <f t="shared" si="20"/>
        <v>-0.13552401533925765</v>
      </c>
      <c r="K22" s="51">
        <f t="shared" si="21"/>
        <v>0.010294975646830266</v>
      </c>
      <c r="L22" s="51">
        <f t="shared" si="22"/>
        <v>0.011426737154301567</v>
      </c>
      <c r="M22" s="51">
        <f t="shared" si="23"/>
        <v>0.0005034649860934668</v>
      </c>
      <c r="N22" s="51">
        <f t="shared" si="24"/>
        <v>0.05482385129338413</v>
      </c>
      <c r="O22" s="51">
        <f t="shared" si="0"/>
        <v>0</v>
      </c>
      <c r="P22" s="51">
        <f t="shared" si="1"/>
        <v>0.15</v>
      </c>
      <c r="Q22" s="53">
        <f t="shared" si="2"/>
        <v>0.4458340956509569</v>
      </c>
      <c r="R22" s="54">
        <f t="shared" si="3"/>
        <v>6</v>
      </c>
      <c r="S22" s="55">
        <f t="shared" si="4"/>
        <v>8.388577692883988</v>
      </c>
      <c r="T22" s="51">
        <f t="shared" si="5"/>
        <v>2.704982443678354</v>
      </c>
      <c r="U22" s="51">
        <f t="shared" si="6"/>
        <v>7.183595249205634</v>
      </c>
      <c r="V22" s="56">
        <f t="shared" si="7"/>
        <v>-2.388577692883988</v>
      </c>
      <c r="W22" s="57">
        <f t="shared" si="8"/>
        <v>-12.65081653932931</v>
      </c>
      <c r="X22" s="58">
        <f t="shared" si="25"/>
        <v>-0.4977936996219827</v>
      </c>
      <c r="Y22" s="51">
        <f t="shared" si="9"/>
        <v>1.0993211590790997</v>
      </c>
      <c r="Z22" s="51">
        <f t="shared" si="10"/>
        <v>1.0993211590790997</v>
      </c>
    </row>
    <row r="23" spans="1:26" s="59" customFormat="1" ht="15" customHeight="1">
      <c r="A23" s="48">
        <f t="shared" si="11"/>
        <v>0.31000000000000005</v>
      </c>
      <c r="B23" s="51">
        <f t="shared" si="12"/>
        <v>-121.86498194612899</v>
      </c>
      <c r="C23" s="69">
        <f t="shared" si="13"/>
        <v>0.05533499999999999</v>
      </c>
      <c r="D23" s="50">
        <f t="shared" si="14"/>
        <v>5823.472295828919</v>
      </c>
      <c r="E23" s="50">
        <f t="shared" si="15"/>
        <v>516.1290322580644</v>
      </c>
      <c r="F23" s="51">
        <f t="shared" si="16"/>
        <v>1.0136400699481987</v>
      </c>
      <c r="G23" s="48">
        <f t="shared" si="17"/>
        <v>1.0723647660216131</v>
      </c>
      <c r="H23" s="52">
        <f t="shared" si="18"/>
        <v>6.994857420213577</v>
      </c>
      <c r="I23" s="51">
        <f t="shared" si="19"/>
        <v>1.2451485251342993</v>
      </c>
      <c r="J23" s="49">
        <f t="shared" si="20"/>
        <v>-0.1400414825172329</v>
      </c>
      <c r="K23" s="51">
        <f t="shared" si="21"/>
        <v>0.010985927783926997</v>
      </c>
      <c r="L23" s="51">
        <f t="shared" si="22"/>
        <v>0.013016790833904966</v>
      </c>
      <c r="M23" s="51">
        <f t="shared" si="23"/>
        <v>0.0004912034298795367</v>
      </c>
      <c r="N23" s="51">
        <f t="shared" si="24"/>
        <v>0.053472075712399786</v>
      </c>
      <c r="O23" s="51">
        <f t="shared" si="0"/>
        <v>0</v>
      </c>
      <c r="P23" s="51">
        <f t="shared" si="1"/>
        <v>0.15</v>
      </c>
      <c r="Q23" s="53">
        <f t="shared" si="2"/>
        <v>0.4458340956509569</v>
      </c>
      <c r="R23" s="54">
        <f t="shared" si="3"/>
        <v>6</v>
      </c>
      <c r="S23" s="55">
        <f t="shared" si="4"/>
        <v>8.902328907545138</v>
      </c>
      <c r="T23" s="51">
        <f t="shared" si="5"/>
        <v>2.745148525134299</v>
      </c>
      <c r="U23" s="51">
        <f t="shared" si="6"/>
        <v>7.657180382410839</v>
      </c>
      <c r="V23" s="56">
        <f t="shared" si="7"/>
        <v>-2.9023289075451384</v>
      </c>
      <c r="W23" s="57">
        <f t="shared" si="8"/>
        <v>-12.690982620785256</v>
      </c>
      <c r="X23" s="58">
        <f t="shared" si="25"/>
        <v>-0.5325206138624674</v>
      </c>
      <c r="Y23" s="51">
        <f t="shared" si="9"/>
        <v>1.0993211590790997</v>
      </c>
      <c r="Z23" s="51">
        <f t="shared" si="10"/>
        <v>1.0993211590790997</v>
      </c>
    </row>
    <row r="24" spans="1:26" s="47" customFormat="1" ht="15" customHeight="1">
      <c r="A24" s="37">
        <f t="shared" si="11"/>
        <v>0.32000000000000006</v>
      </c>
      <c r="B24" s="40">
        <f t="shared" si="12"/>
        <v>-121.86498194612899</v>
      </c>
      <c r="C24" s="68">
        <f t="shared" si="13"/>
        <v>0.05533499999999999</v>
      </c>
      <c r="D24" s="39">
        <f t="shared" si="14"/>
        <v>5641.488786584267</v>
      </c>
      <c r="E24" s="39">
        <f t="shared" si="15"/>
        <v>499.9999999999999</v>
      </c>
      <c r="F24" s="40">
        <f t="shared" si="16"/>
        <v>1.041446866828924</v>
      </c>
      <c r="G24" s="37">
        <f t="shared" si="17"/>
        <v>1.0986862957313077</v>
      </c>
      <c r="H24" s="41">
        <f t="shared" si="18"/>
        <v>7.5055282786854525</v>
      </c>
      <c r="I24" s="40">
        <f t="shared" si="19"/>
        <v>1.2853146065902445</v>
      </c>
      <c r="J24" s="38">
        <f t="shared" si="20"/>
        <v>-0.14455894969520816</v>
      </c>
      <c r="K24" s="40">
        <f t="shared" si="21"/>
        <v>0.011698631761973053</v>
      </c>
      <c r="L24" s="40">
        <f t="shared" si="22"/>
        <v>0.014766425043490426</v>
      </c>
      <c r="M24" s="40">
        <f t="shared" si="23"/>
        <v>0.00047943553423606533</v>
      </c>
      <c r="N24" s="40">
        <f t="shared" si="24"/>
        <v>0.05217551463877867</v>
      </c>
      <c r="O24" s="40">
        <f t="shared" si="0"/>
        <v>0</v>
      </c>
      <c r="P24" s="40">
        <f t="shared" si="1"/>
        <v>0.15</v>
      </c>
      <c r="Q24" s="42">
        <f t="shared" si="2"/>
        <v>0.4458340956509569</v>
      </c>
      <c r="R24" s="43">
        <f t="shared" si="3"/>
        <v>6</v>
      </c>
      <c r="S24" s="44">
        <f t="shared" si="4"/>
        <v>9.453618920608923</v>
      </c>
      <c r="T24" s="40">
        <f t="shared" si="5"/>
        <v>2.7853146065902443</v>
      </c>
      <c r="U24" s="40">
        <f t="shared" si="6"/>
        <v>8.168304314018679</v>
      </c>
      <c r="V24" s="45">
        <f t="shared" si="7"/>
        <v>-3.453618920608923</v>
      </c>
      <c r="W24" s="46">
        <f t="shared" si="8"/>
        <v>-12.731148702241201</v>
      </c>
      <c r="X24" s="60">
        <f t="shared" si="25"/>
        <v>-0.5738214811450151</v>
      </c>
      <c r="Y24" s="40">
        <f t="shared" si="9"/>
        <v>1.0993211590790997</v>
      </c>
      <c r="Z24" s="40">
        <f t="shared" si="10"/>
        <v>1.0993211590790997</v>
      </c>
    </row>
    <row r="25" spans="1:26" s="59" customFormat="1" ht="15" customHeight="1">
      <c r="A25" s="48">
        <f t="shared" si="11"/>
        <v>0.33000000000000007</v>
      </c>
      <c r="B25" s="51">
        <f t="shared" si="12"/>
        <v>-121.86498194612899</v>
      </c>
      <c r="C25" s="69">
        <f t="shared" si="13"/>
        <v>0.05533499999999999</v>
      </c>
      <c r="D25" s="50">
        <f t="shared" si="14"/>
        <v>5470.534580930198</v>
      </c>
      <c r="E25" s="50">
        <f t="shared" si="15"/>
        <v>484.84848484848476</v>
      </c>
      <c r="F25" s="51">
        <f t="shared" si="16"/>
        <v>1.0693788386993928</v>
      </c>
      <c r="G25" s="48">
        <f t="shared" si="17"/>
        <v>1.1251982494912005</v>
      </c>
      <c r="H25" s="52">
        <f t="shared" si="18"/>
        <v>8.061039592504844</v>
      </c>
      <c r="I25" s="51">
        <f t="shared" si="19"/>
        <v>1.3254806880461898</v>
      </c>
      <c r="J25" s="49">
        <f t="shared" si="20"/>
        <v>-0.1490764168731834</v>
      </c>
      <c r="K25" s="51">
        <f t="shared" si="21"/>
        <v>0.012433001493689163</v>
      </c>
      <c r="L25" s="51">
        <f t="shared" si="22"/>
        <v>0.016685872013655498</v>
      </c>
      <c r="M25" s="51">
        <f t="shared" si="23"/>
        <v>0.00046813906028557385</v>
      </c>
      <c r="N25" s="51">
        <f t="shared" si="24"/>
        <v>0.050931621619521486</v>
      </c>
      <c r="O25" s="51">
        <f t="shared" si="0"/>
        <v>0</v>
      </c>
      <c r="P25" s="51">
        <f t="shared" si="1"/>
        <v>0.15</v>
      </c>
      <c r="Q25" s="53">
        <f t="shared" si="2"/>
        <v>0.4458340956509569</v>
      </c>
      <c r="R25" s="54">
        <f t="shared" si="3"/>
        <v>6</v>
      </c>
      <c r="S25" s="55">
        <f t="shared" si="4"/>
        <v>10.049971869835169</v>
      </c>
      <c r="T25" s="51">
        <f t="shared" si="5"/>
        <v>2.8254806880461896</v>
      </c>
      <c r="U25" s="51">
        <f t="shared" si="6"/>
        <v>8.724491181788979</v>
      </c>
      <c r="V25" s="56">
        <f t="shared" si="7"/>
        <v>-4.0499718698351685</v>
      </c>
      <c r="W25" s="57">
        <f t="shared" si="8"/>
        <v>-12.771314783697147</v>
      </c>
      <c r="X25" s="58">
        <f t="shared" si="25"/>
        <v>-0.6240419147734793</v>
      </c>
      <c r="Y25" s="51">
        <f t="shared" si="9"/>
        <v>1.0993211590790997</v>
      </c>
      <c r="Z25" s="51">
        <f t="shared" si="10"/>
        <v>1.0993211590790997</v>
      </c>
    </row>
    <row r="26" spans="1:26" s="59" customFormat="1" ht="15" customHeight="1">
      <c r="A26" s="48">
        <f t="shared" si="11"/>
        <v>0.3400000000000001</v>
      </c>
      <c r="B26" s="51">
        <f t="shared" si="12"/>
        <v>-121.86498194612899</v>
      </c>
      <c r="C26" s="69">
        <f t="shared" si="13"/>
        <v>0.05533499999999999</v>
      </c>
      <c r="D26" s="50">
        <f t="shared" si="14"/>
        <v>5309.636505020486</v>
      </c>
      <c r="E26" s="50">
        <f t="shared" si="15"/>
        <v>470.5882352941175</v>
      </c>
      <c r="F26" s="51">
        <f t="shared" si="16"/>
        <v>1.097426427645802</v>
      </c>
      <c r="G26" s="48">
        <f t="shared" si="17"/>
        <v>1.151887478921195</v>
      </c>
      <c r="H26" s="52">
        <f t="shared" si="18"/>
        <v>8.671698286943887</v>
      </c>
      <c r="I26" s="51">
        <f t="shared" si="19"/>
        <v>1.365646769502135</v>
      </c>
      <c r="J26" s="49">
        <f t="shared" si="20"/>
        <v>-0.15359388405115867</v>
      </c>
      <c r="K26" s="51">
        <f t="shared" si="21"/>
        <v>0.013188948353088634</v>
      </c>
      <c r="L26" s="51">
        <f t="shared" si="22"/>
        <v>0.018785682015440622</v>
      </c>
      <c r="M26" s="51">
        <f t="shared" si="23"/>
        <v>0.00045729227966355917</v>
      </c>
      <c r="N26" s="51">
        <f t="shared" si="24"/>
        <v>0.04973791604346166</v>
      </c>
      <c r="O26" s="51">
        <f t="shared" si="0"/>
        <v>0</v>
      </c>
      <c r="P26" s="51">
        <f t="shared" si="1"/>
        <v>0.15</v>
      </c>
      <c r="Q26" s="53">
        <f t="shared" si="2"/>
        <v>0.4458340956509569</v>
      </c>
      <c r="R26" s="54">
        <f t="shared" si="3"/>
        <v>6</v>
      </c>
      <c r="S26" s="55">
        <f t="shared" si="4"/>
        <v>10.701702750155881</v>
      </c>
      <c r="T26" s="51">
        <f t="shared" si="5"/>
        <v>2.865646769502135</v>
      </c>
      <c r="U26" s="51">
        <f t="shared" si="6"/>
        <v>9.336055980653747</v>
      </c>
      <c r="V26" s="56">
        <f t="shared" si="7"/>
        <v>-4.7017027501558815</v>
      </c>
      <c r="W26" s="57">
        <f t="shared" si="8"/>
        <v>-12.811480865153092</v>
      </c>
      <c r="X26" s="58">
        <f t="shared" si="25"/>
        <v>-0.6867201522452451</v>
      </c>
      <c r="Y26" s="51">
        <f t="shared" si="9"/>
        <v>1.0993211590790997</v>
      </c>
      <c r="Z26" s="51">
        <f t="shared" si="10"/>
        <v>1.0993211590790997</v>
      </c>
    </row>
    <row r="27" spans="1:26" s="59" customFormat="1" ht="15" customHeight="1">
      <c r="A27" s="48">
        <f t="shared" si="11"/>
        <v>0.3500000000000001</v>
      </c>
      <c r="B27" s="51">
        <f t="shared" si="12"/>
        <v>-121.86498194612899</v>
      </c>
      <c r="C27" s="69">
        <f t="shared" si="13"/>
        <v>0.05533499999999999</v>
      </c>
      <c r="D27" s="50">
        <f t="shared" si="14"/>
        <v>5157.932604877043</v>
      </c>
      <c r="E27" s="50">
        <f t="shared" si="15"/>
        <v>457.14285714285705</v>
      </c>
      <c r="F27" s="51">
        <f t="shared" si="16"/>
        <v>1.125580990750944</v>
      </c>
      <c r="G27" s="48">
        <f t="shared" si="17"/>
        <v>1.1787419423859815</v>
      </c>
      <c r="H27" s="52">
        <f t="shared" si="18"/>
        <v>9.35209650402361</v>
      </c>
      <c r="I27" s="51">
        <f t="shared" si="19"/>
        <v>1.40581285095808</v>
      </c>
      <c r="J27" s="49">
        <f t="shared" si="20"/>
        <v>-0.15811135122913392</v>
      </c>
      <c r="K27" s="51">
        <f t="shared" si="21"/>
        <v>0.013966381193302032</v>
      </c>
      <c r="L27" s="51">
        <f t="shared" si="22"/>
        <v>0.021076726902377038</v>
      </c>
      <c r="M27" s="51">
        <f t="shared" si="23"/>
        <v>0.00044687410552775433</v>
      </c>
      <c r="N27" s="51">
        <f t="shared" si="24"/>
        <v>0.04859199679063465</v>
      </c>
      <c r="O27" s="51">
        <f t="shared" si="0"/>
        <v>0</v>
      </c>
      <c r="P27" s="51">
        <f t="shared" si="1"/>
        <v>0.15</v>
      </c>
      <c r="Q27" s="53">
        <f t="shared" si="2"/>
        <v>0.4458340956509569</v>
      </c>
      <c r="R27" s="54">
        <f t="shared" si="3"/>
        <v>6</v>
      </c>
      <c r="S27" s="55">
        <f t="shared" si="4"/>
        <v>11.423412174325659</v>
      </c>
      <c r="T27" s="51">
        <f t="shared" si="5"/>
        <v>2.90581285095808</v>
      </c>
      <c r="U27" s="51">
        <f t="shared" si="6"/>
        <v>10.017599323367579</v>
      </c>
      <c r="V27" s="56">
        <f t="shared" si="7"/>
        <v>-5.423412174325659</v>
      </c>
      <c r="W27" s="57">
        <f t="shared" si="8"/>
        <v>-12.851646946609037</v>
      </c>
      <c r="X27" s="58">
        <f t="shared" si="25"/>
        <v>-0.7674758214984223</v>
      </c>
      <c r="Y27" s="51">
        <f t="shared" si="9"/>
        <v>1.0993211590790997</v>
      </c>
      <c r="Z27" s="51">
        <f t="shared" si="10"/>
        <v>1.0993211590790997</v>
      </c>
    </row>
    <row r="28" spans="1:26" s="59" customFormat="1" ht="15" customHeight="1">
      <c r="A28" s="48">
        <f t="shared" si="11"/>
        <v>0.3600000000000001</v>
      </c>
      <c r="B28" s="51">
        <f t="shared" si="12"/>
        <v>-121.86498194612899</v>
      </c>
      <c r="C28" s="69">
        <f t="shared" si="13"/>
        <v>0.05533499999999999</v>
      </c>
      <c r="D28" s="50">
        <f t="shared" si="14"/>
        <v>5014.6566991860145</v>
      </c>
      <c r="E28" s="50">
        <f t="shared" si="15"/>
        <v>444.44444444444434</v>
      </c>
      <c r="F28" s="51">
        <f t="shared" si="16"/>
        <v>1.1538346972558124</v>
      </c>
      <c r="G28" s="48">
        <f t="shared" si="17"/>
        <v>1.2057505996645461</v>
      </c>
      <c r="H28" s="52">
        <f t="shared" si="18"/>
        <v>10.123779609218733</v>
      </c>
      <c r="I28" s="51">
        <f t="shared" si="19"/>
        <v>1.445978932414025</v>
      </c>
      <c r="J28" s="49">
        <f t="shared" si="20"/>
        <v>-0.1626288184071092</v>
      </c>
      <c r="K28" s="51">
        <f t="shared" si="21"/>
        <v>0.014765206364891188</v>
      </c>
      <c r="L28" s="51">
        <f t="shared" si="22"/>
        <v>0.023570204391686122</v>
      </c>
      <c r="M28" s="51">
        <f t="shared" si="23"/>
        <v>0.0004368641834375459</v>
      </c>
      <c r="N28" s="51">
        <f t="shared" si="24"/>
        <v>0.047491551477323785</v>
      </c>
      <c r="O28" s="51">
        <f t="shared" si="0"/>
        <v>0</v>
      </c>
      <c r="P28" s="51">
        <f t="shared" si="1"/>
        <v>0.15</v>
      </c>
      <c r="Q28" s="53">
        <f t="shared" si="2"/>
        <v>0.4458340956509569</v>
      </c>
      <c r="R28" s="54">
        <f t="shared" si="3"/>
        <v>6</v>
      </c>
      <c r="S28" s="55">
        <f t="shared" si="4"/>
        <v>12.236654393152726</v>
      </c>
      <c r="T28" s="51">
        <f t="shared" si="5"/>
        <v>2.9459789324140253</v>
      </c>
      <c r="U28" s="51">
        <f t="shared" si="6"/>
        <v>10.7906754607387</v>
      </c>
      <c r="V28" s="56">
        <f t="shared" si="7"/>
        <v>-6.236654393152726</v>
      </c>
      <c r="W28" s="57">
        <f t="shared" si="8"/>
        <v>-12.891813028064982</v>
      </c>
      <c r="X28" s="58">
        <f t="shared" si="25"/>
        <v>-0.8758393760351524</v>
      </c>
      <c r="Y28" s="51">
        <f t="shared" si="9"/>
        <v>1.0993211590790997</v>
      </c>
      <c r="Z28" s="51">
        <f t="shared" si="10"/>
        <v>1.0993211590790997</v>
      </c>
    </row>
    <row r="29" spans="1:26" s="47" customFormat="1" ht="15" customHeight="1">
      <c r="A29" s="37">
        <f t="shared" si="11"/>
        <v>0.3700000000000001</v>
      </c>
      <c r="B29" s="40">
        <f t="shared" si="12"/>
        <v>-121.86498194612899</v>
      </c>
      <c r="C29" s="68">
        <f t="shared" si="13"/>
        <v>0.05533499999999999</v>
      </c>
      <c r="D29" s="39">
        <f t="shared" si="14"/>
        <v>4879.125437045852</v>
      </c>
      <c r="E29" s="39">
        <f t="shared" si="15"/>
        <v>432.43243243243234</v>
      </c>
      <c r="F29" s="40">
        <f t="shared" si="16"/>
        <v>1.182180438702161</v>
      </c>
      <c r="G29" s="37">
        <f t="shared" si="17"/>
        <v>1.2329033172353923</v>
      </c>
      <c r="H29" s="41">
        <f t="shared" si="18"/>
        <v>11.020399811474578</v>
      </c>
      <c r="I29" s="40">
        <f t="shared" si="19"/>
        <v>1.4861450138699703</v>
      </c>
      <c r="J29" s="38">
        <f t="shared" si="20"/>
        <v>-0.16714628558508446</v>
      </c>
      <c r="K29" s="40">
        <f t="shared" si="21"/>
        <v>0.015585327734648855</v>
      </c>
      <c r="L29" s="40">
        <f t="shared" si="22"/>
        <v>0.026277643143728085</v>
      </c>
      <c r="M29" s="40">
        <f t="shared" si="23"/>
        <v>0.0004272429506743014</v>
      </c>
      <c r="N29" s="40">
        <f t="shared" si="24"/>
        <v>0.04643436225672887</v>
      </c>
      <c r="O29" s="40">
        <f t="shared" si="0"/>
        <v>0</v>
      </c>
      <c r="P29" s="40">
        <f t="shared" si="1"/>
        <v>0.15</v>
      </c>
      <c r="Q29" s="42">
        <f t="shared" si="2"/>
        <v>0.4458340956509569</v>
      </c>
      <c r="R29" s="43">
        <f t="shared" si="3"/>
        <v>6</v>
      </c>
      <c r="S29" s="44">
        <f t="shared" si="4"/>
        <v>13.175090926395963</v>
      </c>
      <c r="T29" s="40">
        <f t="shared" si="5"/>
        <v>2.9861450138699706</v>
      </c>
      <c r="U29" s="40">
        <f t="shared" si="6"/>
        <v>11.688945912525993</v>
      </c>
      <c r="V29" s="45">
        <f t="shared" si="7"/>
        <v>-7.1750909263959635</v>
      </c>
      <c r="W29" s="46">
        <f t="shared" si="8"/>
        <v>-12.931979109520928</v>
      </c>
      <c r="X29" s="60">
        <f t="shared" si="25"/>
        <v>-1.02945079236072</v>
      </c>
      <c r="Y29" s="40">
        <f t="shared" si="9"/>
        <v>1.0993211590790997</v>
      </c>
      <c r="Z29" s="40">
        <f t="shared" si="10"/>
        <v>1.0993211590790997</v>
      </c>
    </row>
    <row r="30" spans="1:26" s="59" customFormat="1" ht="15" customHeight="1">
      <c r="A30" s="48">
        <f t="shared" si="11"/>
        <v>0.3800000000000001</v>
      </c>
      <c r="B30" s="51">
        <f t="shared" si="12"/>
        <v>-121.86498194612899</v>
      </c>
      <c r="C30" s="69">
        <f t="shared" si="13"/>
        <v>0.05533499999999999</v>
      </c>
      <c r="D30" s="50">
        <f t="shared" si="14"/>
        <v>4750.727399228856</v>
      </c>
      <c r="E30" s="50">
        <f t="shared" si="15"/>
        <v>421.0526315789472</v>
      </c>
      <c r="F30" s="51">
        <f t="shared" si="16"/>
        <v>1.2106117502798908</v>
      </c>
      <c r="G30" s="48">
        <f t="shared" si="17"/>
        <v>1.2601907831418784</v>
      </c>
      <c r="H30" s="52">
        <f t="shared" si="18"/>
        <v>12.098781569245723</v>
      </c>
      <c r="I30" s="51">
        <f t="shared" si="19"/>
        <v>1.5263110953259156</v>
      </c>
      <c r="J30" s="49">
        <f t="shared" si="20"/>
        <v>-0.1716637527630597</v>
      </c>
      <c r="K30" s="51">
        <f t="shared" si="21"/>
        <v>0.016426646704877687</v>
      </c>
      <c r="L30" s="51">
        <f t="shared" si="22"/>
        <v>0.029210908702083368</v>
      </c>
      <c r="M30" s="51">
        <f t="shared" si="23"/>
        <v>0.0004179916709424776</v>
      </c>
      <c r="N30" s="51">
        <f t="shared" si="24"/>
        <v>0.04541830894948542</v>
      </c>
      <c r="O30" s="51">
        <f t="shared" si="0"/>
        <v>0</v>
      </c>
      <c r="P30" s="51">
        <f t="shared" si="1"/>
        <v>0.15</v>
      </c>
      <c r="Q30" s="53">
        <f t="shared" si="2"/>
        <v>0.4458340956509569</v>
      </c>
      <c r="R30" s="54">
        <f t="shared" si="3"/>
        <v>6</v>
      </c>
      <c r="S30" s="55">
        <f t="shared" si="4"/>
        <v>14.295555977874166</v>
      </c>
      <c r="T30" s="51">
        <f t="shared" si="5"/>
        <v>3.026311095325916</v>
      </c>
      <c r="U30" s="51">
        <f t="shared" si="6"/>
        <v>12.76924488254825</v>
      </c>
      <c r="V30" s="56">
        <f t="shared" si="7"/>
        <v>-8.295555977874166</v>
      </c>
      <c r="W30" s="57">
        <f t="shared" si="8"/>
        <v>-12.972145190976873</v>
      </c>
      <c r="X30" s="58">
        <f t="shared" si="25"/>
        <v>-1.26528597633971</v>
      </c>
      <c r="Y30" s="51">
        <f t="shared" si="9"/>
        <v>1.0993211590790997</v>
      </c>
      <c r="Z30" s="51">
        <f t="shared" si="10"/>
        <v>1.0993211590790997</v>
      </c>
    </row>
    <row r="31" spans="1:26" s="59" customFormat="1" ht="15" customHeight="1">
      <c r="A31" s="48">
        <f t="shared" si="11"/>
        <v>0.3900000000000001</v>
      </c>
      <c r="B31" s="51">
        <f t="shared" si="12"/>
        <v>-121.86498194612899</v>
      </c>
      <c r="C31" s="69">
        <f t="shared" si="13"/>
        <v>0.05533499999999999</v>
      </c>
      <c r="D31" s="50">
        <f t="shared" si="14"/>
        <v>4628.913876171705</v>
      </c>
      <c r="E31" s="50">
        <f t="shared" si="15"/>
        <v>410.2564102564101</v>
      </c>
      <c r="F31" s="51">
        <f t="shared" si="16"/>
        <v>1.2391227418575341</v>
      </c>
      <c r="G31" s="48">
        <f t="shared" si="17"/>
        <v>1.2876044304787606</v>
      </c>
      <c r="H31" s="52">
        <f t="shared" si="18"/>
        <v>13.466528026156881</v>
      </c>
      <c r="I31" s="51">
        <f t="shared" si="19"/>
        <v>1.5664771767818608</v>
      </c>
      <c r="J31" s="49">
        <f t="shared" si="20"/>
        <v>-0.17618121994103497</v>
      </c>
      <c r="K31" s="51">
        <f t="shared" si="21"/>
        <v>0.017289062233143377</v>
      </c>
      <c r="L31" s="51">
        <f t="shared" si="22"/>
        <v>0.03238221036019101</v>
      </c>
      <c r="M31" s="51">
        <f t="shared" si="23"/>
        <v>0.00040909245004378084</v>
      </c>
      <c r="N31" s="51">
        <f t="shared" si="24"/>
        <v>0.04444137012549111</v>
      </c>
      <c r="O31" s="51">
        <f t="shared" si="0"/>
        <v>0</v>
      </c>
      <c r="P31" s="51">
        <f t="shared" si="1"/>
        <v>0.15</v>
      </c>
      <c r="Q31" s="53">
        <f t="shared" si="2"/>
        <v>0.4458340956509569</v>
      </c>
      <c r="R31" s="54">
        <f t="shared" si="3"/>
        <v>6</v>
      </c>
      <c r="S31" s="55">
        <f t="shared" si="4"/>
        <v>15.705662879075383</v>
      </c>
      <c r="T31" s="51">
        <f t="shared" si="5"/>
        <v>3.066477176781861</v>
      </c>
      <c r="U31" s="51">
        <f t="shared" si="6"/>
        <v>14.139185702293522</v>
      </c>
      <c r="V31" s="56">
        <f t="shared" si="7"/>
        <v>-9.705662879075383</v>
      </c>
      <c r="W31" s="57">
        <f t="shared" si="8"/>
        <v>-13.012311272432818</v>
      </c>
      <c r="X31" s="58">
        <f t="shared" si="25"/>
        <v>-1.677653098669218</v>
      </c>
      <c r="Y31" s="51">
        <f t="shared" si="9"/>
        <v>1.0993211590790997</v>
      </c>
      <c r="Z31" s="51">
        <f t="shared" si="10"/>
        <v>1.0993211590790997</v>
      </c>
    </row>
    <row r="32" spans="1:26" s="59" customFormat="1" ht="15" customHeight="1">
      <c r="A32" s="48">
        <f t="shared" si="11"/>
        <v>0.40000000000000013</v>
      </c>
      <c r="B32" s="51">
        <f t="shared" si="12"/>
        <v>-121.86498194612899</v>
      </c>
      <c r="C32" s="69">
        <f t="shared" si="13"/>
        <v>0.05533499999999999</v>
      </c>
      <c r="D32" s="50">
        <f t="shared" si="14"/>
        <v>4513.191029267412</v>
      </c>
      <c r="E32" s="50">
        <f t="shared" si="15"/>
        <v>399.9999999999999</v>
      </c>
      <c r="F32" s="51">
        <f t="shared" si="16"/>
        <v>1.267708037392053</v>
      </c>
      <c r="G32" s="48">
        <f t="shared" si="17"/>
        <v>1.3151363686205364</v>
      </c>
      <c r="H32" s="52">
        <f t="shared" si="18"/>
        <v>15.36907908966578</v>
      </c>
      <c r="I32" s="51">
        <f t="shared" si="19"/>
        <v>1.6066432582378058</v>
      </c>
      <c r="J32" s="49">
        <f t="shared" si="20"/>
        <v>-0.18069868711901022</v>
      </c>
      <c r="K32" s="51">
        <f t="shared" si="21"/>
        <v>0.018172470852496833</v>
      </c>
      <c r="L32" s="51">
        <f t="shared" si="22"/>
        <v>0.03580410902457124</v>
      </c>
      <c r="M32" s="51">
        <f t="shared" si="23"/>
        <v>0.0004005282370103546</v>
      </c>
      <c r="N32" s="51">
        <f t="shared" si="24"/>
        <v>0.04350162263349262</v>
      </c>
      <c r="O32" s="51">
        <f t="shared" si="0"/>
        <v>0</v>
      </c>
      <c r="P32" s="51">
        <f t="shared" si="1"/>
        <v>0.15</v>
      </c>
      <c r="Q32" s="53">
        <f t="shared" si="2"/>
        <v>0.4458340956509569</v>
      </c>
      <c r="R32" s="54">
        <f t="shared" si="3"/>
        <v>6</v>
      </c>
      <c r="S32" s="55">
        <f t="shared" si="4"/>
        <v>17.650862175212602</v>
      </c>
      <c r="T32" s="51">
        <f t="shared" si="5"/>
        <v>3.106643258237806</v>
      </c>
      <c r="U32" s="51">
        <f t="shared" si="6"/>
        <v>16.044218916974796</v>
      </c>
      <c r="V32" s="56">
        <f t="shared" si="7"/>
        <v>-11.650862175212602</v>
      </c>
      <c r="W32" s="57">
        <f t="shared" si="8"/>
        <v>-13.052477353888763</v>
      </c>
      <c r="X32" s="58">
        <f t="shared" si="25"/>
        <v>-2.6183458770812997</v>
      </c>
      <c r="Y32" s="51">
        <f t="shared" si="9"/>
        <v>1.0993211590790997</v>
      </c>
      <c r="Z32" s="51">
        <f t="shared" si="10"/>
        <v>1.0993211590790997</v>
      </c>
    </row>
    <row r="33" spans="1:26" s="59" customFormat="1" ht="15" customHeight="1">
      <c r="A33" s="48">
        <f t="shared" si="11"/>
        <v>0.41000000000000014</v>
      </c>
      <c r="B33" s="51">
        <f t="shared" si="12"/>
        <v>-121.86498194612899</v>
      </c>
      <c r="C33" s="69">
        <f t="shared" si="13"/>
        <v>0.05533499999999999</v>
      </c>
      <c r="D33" s="50">
        <f t="shared" si="14"/>
        <v>4403.11319928528</v>
      </c>
      <c r="E33" s="50">
        <f t="shared" si="15"/>
        <v>390.2439024390243</v>
      </c>
      <c r="F33" s="51">
        <f t="shared" si="16"/>
        <v>1.2963627216004685</v>
      </c>
      <c r="G33" s="48">
        <f t="shared" si="17"/>
        <v>1.342779321391037</v>
      </c>
      <c r="H33" s="52">
        <f t="shared" si="18"/>
        <v>18.61762443177089</v>
      </c>
      <c r="I33" s="51">
        <f t="shared" si="19"/>
        <v>1.646809339693751</v>
      </c>
      <c r="J33" s="49">
        <f t="shared" si="20"/>
        <v>-0.18521615429698549</v>
      </c>
      <c r="K33" s="51">
        <f t="shared" si="21"/>
        <v>0.019076766692159058</v>
      </c>
      <c r="L33" s="51">
        <f t="shared" si="22"/>
        <v>0.03948952614912474</v>
      </c>
      <c r="M33" s="51">
        <f t="shared" si="23"/>
        <v>0.00039228281427964147</v>
      </c>
      <c r="N33" s="51">
        <f t="shared" si="24"/>
        <v>0.04259723997326343</v>
      </c>
      <c r="O33" s="51">
        <f t="shared" si="0"/>
        <v>0</v>
      </c>
      <c r="P33" s="51">
        <f t="shared" si="1"/>
        <v>0.15</v>
      </c>
      <c r="Q33" s="53">
        <f t="shared" si="2"/>
        <v>0.4458340956509569</v>
      </c>
      <c r="R33" s="54">
        <f t="shared" si="3"/>
        <v>6</v>
      </c>
      <c r="S33" s="55">
        <f t="shared" si="4"/>
        <v>20.942354633237983</v>
      </c>
      <c r="T33" s="51">
        <f t="shared" si="5"/>
        <v>3.146809339693751</v>
      </c>
      <c r="U33" s="51">
        <f t="shared" si="6"/>
        <v>19.295545293544233</v>
      </c>
      <c r="V33" s="56">
        <f t="shared" si="7"/>
        <v>-14.942354633237983</v>
      </c>
      <c r="W33" s="57">
        <f t="shared" si="8"/>
        <v>-13.092643435344709</v>
      </c>
      <c r="X33" s="58" t="e">
        <f t="shared" si="25"/>
        <v>#NUM!</v>
      </c>
      <c r="Y33" s="51">
        <f t="shared" si="9"/>
        <v>1.0993211590790997</v>
      </c>
      <c r="Z33" s="51">
        <f t="shared" si="10"/>
        <v>1.0993211590790997</v>
      </c>
    </row>
    <row r="34" spans="1:26" s="47" customFormat="1" ht="15" customHeight="1">
      <c r="A34" s="37">
        <f t="shared" si="11"/>
        <v>0.42000000000000015</v>
      </c>
      <c r="B34" s="40">
        <f t="shared" si="12"/>
        <v>-121.86498194612899</v>
      </c>
      <c r="C34" s="68">
        <f t="shared" si="13"/>
        <v>0.05533499999999999</v>
      </c>
      <c r="D34" s="39">
        <f t="shared" si="14"/>
        <v>4298.277170730868</v>
      </c>
      <c r="E34" s="39">
        <f t="shared" si="15"/>
        <v>380.9523809523808</v>
      </c>
      <c r="F34" s="40">
        <f t="shared" si="16"/>
        <v>1.3250822929348287</v>
      </c>
      <c r="G34" s="37">
        <f t="shared" si="17"/>
        <v>1.37052657144961</v>
      </c>
      <c r="H34" s="41" t="e">
        <f t="shared" si="18"/>
        <v>#NUM!</v>
      </c>
      <c r="I34" s="40">
        <f t="shared" si="19"/>
        <v>1.6869754211496961</v>
      </c>
      <c r="J34" s="38">
        <f t="shared" si="20"/>
        <v>-0.18973362147496073</v>
      </c>
      <c r="K34" s="40">
        <f t="shared" si="21"/>
        <v>0.020001841498663474</v>
      </c>
      <c r="L34" s="40">
        <f t="shared" si="22"/>
        <v>0.04345175382008189</v>
      </c>
      <c r="M34" s="40">
        <f t="shared" si="23"/>
        <v>0.0003843407797593001</v>
      </c>
      <c r="N34" s="40">
        <f t="shared" si="24"/>
        <v>0.041726489822811144</v>
      </c>
      <c r="O34" s="40">
        <f t="shared" si="0"/>
        <v>0</v>
      </c>
      <c r="P34" s="40">
        <f t="shared" si="1"/>
        <v>0.15</v>
      </c>
      <c r="Q34" s="42">
        <f t="shared" si="2"/>
        <v>0.4458340956509569</v>
      </c>
      <c r="R34" s="43">
        <f t="shared" si="3"/>
        <v>6</v>
      </c>
      <c r="S34" s="44" t="e">
        <f t="shared" si="4"/>
        <v>#NUM!</v>
      </c>
      <c r="T34" s="40">
        <f t="shared" si="5"/>
        <v>3.186975421149696</v>
      </c>
      <c r="U34" s="40" t="e">
        <f t="shared" si="6"/>
        <v>#NUM!</v>
      </c>
      <c r="V34" s="45" t="e">
        <f t="shared" si="7"/>
        <v>#NUM!</v>
      </c>
      <c r="W34" s="46">
        <f t="shared" si="8"/>
        <v>-13.132809516800654</v>
      </c>
      <c r="X34" s="61"/>
      <c r="Y34" s="40">
        <f t="shared" si="9"/>
        <v>1.0993211590790997</v>
      </c>
      <c r="Z34" s="40">
        <f t="shared" si="10"/>
        <v>1.0993211590790997</v>
      </c>
    </row>
    <row r="35" spans="1:23" ht="15" customHeight="1">
      <c r="A35" s="3"/>
      <c r="B35" s="2"/>
      <c r="C35" s="2"/>
      <c r="D35" s="11"/>
      <c r="E35" s="2"/>
      <c r="F35" s="2"/>
      <c r="G35" s="3"/>
      <c r="H35" s="5"/>
      <c r="I35" s="5"/>
      <c r="J35" s="5"/>
      <c r="K35" s="5"/>
      <c r="L35" s="2"/>
      <c r="M35" s="5"/>
      <c r="N35" s="5"/>
      <c r="O35" s="5"/>
      <c r="P35" s="5"/>
      <c r="Q35" s="7"/>
      <c r="R35" s="8"/>
      <c r="S35" s="31"/>
      <c r="U35" s="31"/>
      <c r="V35" s="31"/>
      <c r="W35" s="32"/>
    </row>
    <row r="36" spans="1:21" ht="15" customHeight="1">
      <c r="A36" s="3"/>
      <c r="B36" s="2"/>
      <c r="C36" s="2"/>
      <c r="D36" s="11"/>
      <c r="E36" s="2"/>
      <c r="F36" s="2"/>
      <c r="G36" s="3"/>
      <c r="H36" s="5"/>
      <c r="I36" s="5"/>
      <c r="J36" s="5"/>
      <c r="K36" s="5"/>
      <c r="L36" s="2"/>
      <c r="M36" s="5"/>
      <c r="N36" s="5"/>
      <c r="O36" s="5"/>
      <c r="P36" s="5"/>
      <c r="Q36" s="7"/>
      <c r="R36" s="8"/>
      <c r="S36" s="5"/>
      <c r="U36" s="5"/>
    </row>
    <row r="37" spans="1:21" ht="15" customHeight="1">
      <c r="A37" s="3"/>
      <c r="B37" s="2"/>
      <c r="C37" s="2"/>
      <c r="D37" s="11"/>
      <c r="E37" s="2"/>
      <c r="F37" s="2"/>
      <c r="G37" s="3"/>
      <c r="H37" s="5"/>
      <c r="I37" s="5"/>
      <c r="J37" s="5"/>
      <c r="K37" s="5"/>
      <c r="L37" s="2"/>
      <c r="M37" s="5"/>
      <c r="N37" s="5"/>
      <c r="O37" s="5"/>
      <c r="P37" s="5"/>
      <c r="Q37" s="7"/>
      <c r="R37" s="8"/>
      <c r="S37" s="5"/>
      <c r="U37" s="5"/>
    </row>
    <row r="38" spans="1:21" ht="15" customHeight="1">
      <c r="A38" s="3"/>
      <c r="B38" s="2"/>
      <c r="C38" s="2"/>
      <c r="D38" s="11"/>
      <c r="E38" s="2"/>
      <c r="F38" s="2"/>
      <c r="G38" s="3"/>
      <c r="H38" s="5"/>
      <c r="I38" s="5"/>
      <c r="J38" s="5"/>
      <c r="K38" s="5"/>
      <c r="L38" s="2"/>
      <c r="M38" s="5"/>
      <c r="N38" s="5"/>
      <c r="O38" s="5"/>
      <c r="P38" s="5"/>
      <c r="Q38" s="7"/>
      <c r="R38" s="8"/>
      <c r="S38" s="5"/>
      <c r="U38" s="5"/>
    </row>
    <row r="39" spans="1:21" ht="15" customHeight="1">
      <c r="A39" s="3"/>
      <c r="B39" s="2"/>
      <c r="C39" s="2"/>
      <c r="D39" s="11"/>
      <c r="E39" s="2"/>
      <c r="F39" s="2"/>
      <c r="G39" s="3"/>
      <c r="H39" s="5"/>
      <c r="I39" s="5"/>
      <c r="J39" s="5"/>
      <c r="K39" s="5"/>
      <c r="L39" s="2"/>
      <c r="M39" s="5"/>
      <c r="N39" s="5"/>
      <c r="O39" s="5"/>
      <c r="P39" s="5"/>
      <c r="Q39" s="7"/>
      <c r="R39" s="8"/>
      <c r="S39" s="5"/>
      <c r="U39" s="5"/>
    </row>
    <row r="40" spans="1:21" ht="15" customHeight="1">
      <c r="A40" s="3"/>
      <c r="B40" s="2"/>
      <c r="C40" s="2"/>
      <c r="D40" s="11"/>
      <c r="E40" s="2"/>
      <c r="F40" s="2"/>
      <c r="G40" s="3"/>
      <c r="H40" s="5"/>
      <c r="I40" s="5"/>
      <c r="J40" s="5"/>
      <c r="K40" s="5"/>
      <c r="L40" s="2"/>
      <c r="M40" s="5"/>
      <c r="N40" s="5"/>
      <c r="O40" s="5"/>
      <c r="P40" s="5"/>
      <c r="Q40" s="7"/>
      <c r="R40" s="8"/>
      <c r="S40" s="5"/>
      <c r="U40" s="5"/>
    </row>
    <row r="41" spans="1:21" ht="15" customHeight="1">
      <c r="A41" s="3"/>
      <c r="B41" s="2"/>
      <c r="C41" s="2"/>
      <c r="D41" s="11"/>
      <c r="E41" s="2"/>
      <c r="F41" s="2"/>
      <c r="G41" s="3"/>
      <c r="H41" s="5"/>
      <c r="I41" s="5"/>
      <c r="J41" s="5"/>
      <c r="K41" s="5"/>
      <c r="L41" s="2"/>
      <c r="M41" s="5"/>
      <c r="N41" s="5"/>
      <c r="O41" s="5"/>
      <c r="P41" s="5"/>
      <c r="Q41" s="7"/>
      <c r="R41" s="8"/>
      <c r="S41" s="5"/>
      <c r="U41" s="5"/>
    </row>
    <row r="42" spans="1:21" ht="15" customHeight="1">
      <c r="A42" s="3"/>
      <c r="B42" s="2"/>
      <c r="C42" s="2"/>
      <c r="D42" s="11"/>
      <c r="E42" s="2"/>
      <c r="F42" s="2"/>
      <c r="G42" s="3"/>
      <c r="H42" s="5"/>
      <c r="I42" s="5"/>
      <c r="J42" s="5"/>
      <c r="K42" s="5"/>
      <c r="L42" s="2"/>
      <c r="M42" s="5"/>
      <c r="N42" s="5"/>
      <c r="O42" s="5"/>
      <c r="P42" s="5"/>
      <c r="Q42" s="7"/>
      <c r="R42" s="8"/>
      <c r="S42" s="5"/>
      <c r="U42" s="5"/>
    </row>
    <row r="43" spans="1:21" ht="15" customHeight="1">
      <c r="A43" s="3"/>
      <c r="B43" s="2"/>
      <c r="C43" s="2"/>
      <c r="D43" s="11"/>
      <c r="E43" s="2"/>
      <c r="F43" s="2"/>
      <c r="G43" s="3"/>
      <c r="H43" s="5"/>
      <c r="I43" s="5"/>
      <c r="J43" s="5"/>
      <c r="K43" s="5"/>
      <c r="L43" s="2"/>
      <c r="M43" s="5"/>
      <c r="N43" s="5"/>
      <c r="O43" s="5"/>
      <c r="P43" s="5"/>
      <c r="Q43" s="7"/>
      <c r="R43" s="8"/>
      <c r="S43" s="5"/>
      <c r="U43" s="5"/>
    </row>
    <row r="44" spans="1:21" ht="15" customHeight="1">
      <c r="A44" s="3"/>
      <c r="B44" s="2"/>
      <c r="C44" s="2"/>
      <c r="D44" s="11"/>
      <c r="E44" s="2"/>
      <c r="F44" s="2"/>
      <c r="G44" s="3"/>
      <c r="H44" s="5"/>
      <c r="I44" s="5"/>
      <c r="J44" s="5"/>
      <c r="K44" s="5"/>
      <c r="L44" s="2"/>
      <c r="M44" s="5"/>
      <c r="N44" s="5"/>
      <c r="O44" s="5"/>
      <c r="P44" s="5"/>
      <c r="Q44" s="7"/>
      <c r="R44" s="8"/>
      <c r="S44" s="5"/>
      <c r="U44" s="5"/>
    </row>
    <row r="45" spans="1:21" ht="15" customHeight="1">
      <c r="A45" s="3"/>
      <c r="B45" s="2"/>
      <c r="C45" s="2"/>
      <c r="D45" s="11"/>
      <c r="E45" s="2"/>
      <c r="F45" s="2"/>
      <c r="G45" s="3"/>
      <c r="H45" s="5"/>
      <c r="I45" s="5"/>
      <c r="J45" s="5"/>
      <c r="K45" s="5"/>
      <c r="L45" s="2"/>
      <c r="M45" s="5"/>
      <c r="N45" s="5"/>
      <c r="O45" s="5"/>
      <c r="P45" s="5"/>
      <c r="Q45" s="7"/>
      <c r="R45" s="8"/>
      <c r="S45" s="5"/>
      <c r="U45" s="5"/>
    </row>
    <row r="46" spans="1:21" ht="15" customHeight="1">
      <c r="A46" s="3"/>
      <c r="B46" s="2"/>
      <c r="C46" s="2"/>
      <c r="D46" s="11"/>
      <c r="E46" s="2"/>
      <c r="F46" s="2"/>
      <c r="G46" s="3"/>
      <c r="H46" s="5"/>
      <c r="I46" s="5"/>
      <c r="J46" s="5"/>
      <c r="K46" s="5"/>
      <c r="L46" s="2"/>
      <c r="M46" s="5"/>
      <c r="N46" s="2"/>
      <c r="O46" s="2"/>
      <c r="P46" s="5"/>
      <c r="Q46" s="7"/>
      <c r="R46" s="8"/>
      <c r="S46" s="5"/>
      <c r="U46" s="5"/>
    </row>
    <row r="47" spans="1:21" ht="15" customHeight="1">
      <c r="A47" s="3"/>
      <c r="B47" s="2"/>
      <c r="C47" s="2"/>
      <c r="D47" s="11"/>
      <c r="E47" s="2"/>
      <c r="F47" s="2"/>
      <c r="G47" s="3"/>
      <c r="H47" s="5"/>
      <c r="I47" s="5"/>
      <c r="J47" s="5"/>
      <c r="K47" s="5"/>
      <c r="L47" s="2"/>
      <c r="M47" s="5"/>
      <c r="N47" s="2"/>
      <c r="O47" s="2"/>
      <c r="P47" s="2"/>
      <c r="Q47" s="33"/>
      <c r="R47" s="8"/>
      <c r="S47" s="5"/>
      <c r="U47" s="5"/>
    </row>
    <row r="48" spans="1:21" ht="15" customHeight="1">
      <c r="A48" s="3"/>
      <c r="B48" s="2"/>
      <c r="C48" s="2"/>
      <c r="D48" s="11"/>
      <c r="E48" s="2"/>
      <c r="F48" s="2"/>
      <c r="G48" s="3"/>
      <c r="H48" s="5"/>
      <c r="I48" s="5"/>
      <c r="J48" s="5"/>
      <c r="K48" s="5"/>
      <c r="L48" s="2"/>
      <c r="M48" s="5"/>
      <c r="N48" s="2"/>
      <c r="O48" s="2"/>
      <c r="P48" s="5"/>
      <c r="Q48" s="7"/>
      <c r="R48" s="8"/>
      <c r="S48" s="5"/>
      <c r="U48" s="5"/>
    </row>
    <row r="49" spans="1:15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5"/>
      <c r="O49" s="5"/>
    </row>
    <row r="50" spans="1:15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5"/>
      <c r="O50" s="5"/>
    </row>
    <row r="51" spans="1:15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5"/>
      <c r="O51" s="5"/>
    </row>
    <row r="52" spans="1:15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5"/>
      <c r="O52" s="5"/>
    </row>
    <row r="53" spans="1:15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5"/>
      <c r="O53" s="5"/>
    </row>
    <row r="54" spans="1:15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"/>
      <c r="O54" s="5"/>
    </row>
    <row r="55" spans="1:15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"/>
      <c r="O55" s="5"/>
    </row>
    <row r="56" spans="1:15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5"/>
      <c r="O56" s="5"/>
    </row>
    <row r="57" spans="1:15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5"/>
      <c r="O57" s="5"/>
    </row>
    <row r="58" spans="1:15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5"/>
      <c r="O58" s="5"/>
    </row>
    <row r="59" spans="1:15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"/>
      <c r="O59" s="5"/>
    </row>
    <row r="60" spans="1:15" ht="1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5"/>
      <c r="O60" s="5"/>
    </row>
    <row r="61" spans="1:15" ht="1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5"/>
      <c r="O61" s="5"/>
    </row>
    <row r="62" spans="1:15" ht="1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5"/>
      <c r="O62" s="5"/>
    </row>
    <row r="63" spans="1:15" ht="1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5"/>
      <c r="O63" s="5"/>
    </row>
    <row r="64" spans="1:15" ht="1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5"/>
      <c r="O64" s="5"/>
    </row>
    <row r="65" spans="1:15" ht="15" customHeight="1">
      <c r="A65" s="3"/>
      <c r="B65" s="2"/>
      <c r="C65" s="2"/>
      <c r="D65" s="11"/>
      <c r="E65" s="2"/>
      <c r="F65" s="2"/>
      <c r="G65" s="3"/>
      <c r="H65" s="5"/>
      <c r="I65" s="5"/>
      <c r="J65" s="5"/>
      <c r="K65" s="5"/>
      <c r="L65" s="2"/>
      <c r="M65" s="5"/>
      <c r="N65" s="5"/>
      <c r="O65" s="5"/>
    </row>
    <row r="66" spans="1:15" ht="15" customHeight="1">
      <c r="A66" s="3"/>
      <c r="B66" s="2"/>
      <c r="C66" s="2"/>
      <c r="D66" s="11"/>
      <c r="E66" s="2"/>
      <c r="F66" s="2"/>
      <c r="G66" s="3"/>
      <c r="H66" s="5"/>
      <c r="I66" s="5"/>
      <c r="J66" s="5"/>
      <c r="K66" s="5"/>
      <c r="L66" s="2"/>
      <c r="M66" s="5"/>
      <c r="N66" s="5"/>
      <c r="O66" s="5"/>
    </row>
    <row r="67" spans="1:15" ht="15" customHeight="1">
      <c r="A67" s="3"/>
      <c r="B67" s="2"/>
      <c r="C67" s="2"/>
      <c r="D67" s="11"/>
      <c r="E67" s="2"/>
      <c r="F67" s="2"/>
      <c r="G67" s="3"/>
      <c r="H67" s="5"/>
      <c r="I67" s="5"/>
      <c r="J67" s="5"/>
      <c r="K67" s="5"/>
      <c r="L67" s="2"/>
      <c r="M67" s="5"/>
      <c r="N67" s="5"/>
      <c r="O67" s="5"/>
    </row>
    <row r="68" spans="1:15" ht="15" customHeight="1">
      <c r="A68" s="3"/>
      <c r="B68" s="2"/>
      <c r="C68" s="2"/>
      <c r="D68" s="11"/>
      <c r="E68" s="2"/>
      <c r="F68" s="2"/>
      <c r="G68" s="3"/>
      <c r="H68" s="5"/>
      <c r="I68" s="5"/>
      <c r="J68" s="5"/>
      <c r="K68" s="5"/>
      <c r="L68" s="2"/>
      <c r="M68" s="5"/>
      <c r="N68" s="5"/>
      <c r="O68" s="5"/>
    </row>
    <row r="69" spans="1:15" ht="15" customHeight="1">
      <c r="A69" s="3"/>
      <c r="B69" s="2"/>
      <c r="C69" s="2"/>
      <c r="D69" s="11"/>
      <c r="E69" s="2"/>
      <c r="F69" s="2"/>
      <c r="G69" s="3"/>
      <c r="H69" s="5"/>
      <c r="I69" s="5"/>
      <c r="J69" s="5"/>
      <c r="K69" s="5"/>
      <c r="L69" s="2"/>
      <c r="M69" s="5"/>
      <c r="N69" s="5"/>
      <c r="O69" s="5"/>
    </row>
    <row r="70" spans="1:15" ht="15" customHeight="1">
      <c r="A70" s="4"/>
      <c r="B70" s="5"/>
      <c r="C70" s="3"/>
      <c r="D70" s="11"/>
      <c r="E70" s="2"/>
      <c r="F70" s="2"/>
      <c r="G70" s="3"/>
      <c r="H70" s="5"/>
      <c r="I70" s="5"/>
      <c r="J70" s="5"/>
      <c r="K70" s="5"/>
      <c r="L70" s="2"/>
      <c r="M70" s="2"/>
      <c r="N70" s="2"/>
      <c r="O70" s="2"/>
    </row>
    <row r="71" spans="1:15" ht="15" customHeight="1">
      <c r="A71" s="8"/>
      <c r="B71" s="2"/>
      <c r="C71" s="14"/>
      <c r="D71" s="11"/>
      <c r="E71" s="2"/>
      <c r="F71" s="2"/>
      <c r="G71" s="3"/>
      <c r="H71" s="5"/>
      <c r="I71" s="5"/>
      <c r="J71" s="5"/>
      <c r="K71" s="2"/>
      <c r="L71" s="2"/>
      <c r="M71" s="2"/>
      <c r="N71" s="2"/>
      <c r="O71" s="2"/>
    </row>
    <row r="72" spans="1:15" ht="15" customHeight="1">
      <c r="A72" s="5"/>
      <c r="B72" s="5"/>
      <c r="C72" s="5"/>
      <c r="D72" s="11"/>
      <c r="E72" s="2"/>
      <c r="F72" s="2"/>
      <c r="G72" s="3"/>
      <c r="H72" s="5"/>
      <c r="I72" s="5"/>
      <c r="J72" s="5"/>
      <c r="K72" s="5"/>
      <c r="L72" s="2"/>
      <c r="M72" s="2"/>
      <c r="N72" s="2"/>
      <c r="O72" s="2"/>
    </row>
    <row r="73" spans="1:15" ht="15" customHeight="1">
      <c r="A73" s="35"/>
      <c r="B73" s="4"/>
      <c r="C73" s="4"/>
      <c r="D73" s="11"/>
      <c r="E73" s="2"/>
      <c r="F73" s="2"/>
      <c r="G73" s="3"/>
      <c r="H73" s="5"/>
      <c r="I73" s="5"/>
      <c r="J73" s="5"/>
      <c r="K73" s="2"/>
      <c r="L73" s="11"/>
      <c r="M73" s="2"/>
      <c r="N73" s="2"/>
      <c r="O73" s="2"/>
    </row>
    <row r="74" spans="1:15" ht="15" customHeight="1">
      <c r="A74" s="22"/>
      <c r="B74" s="4"/>
      <c r="C74" s="4"/>
      <c r="D74" s="11"/>
      <c r="E74" s="2"/>
      <c r="F74" s="2"/>
      <c r="G74" s="3"/>
      <c r="H74" s="5"/>
      <c r="I74" s="5"/>
      <c r="J74" s="5"/>
      <c r="K74" s="5"/>
      <c r="L74" s="2"/>
      <c r="M74" s="2"/>
      <c r="N74" s="2"/>
      <c r="O74" s="2"/>
    </row>
    <row r="75" spans="1:15" ht="15" customHeight="1">
      <c r="A75" s="22"/>
      <c r="B75" s="4"/>
      <c r="C75" s="4"/>
      <c r="D75" s="11"/>
      <c r="E75" s="2"/>
      <c r="F75" s="2"/>
      <c r="G75" s="3"/>
      <c r="H75" s="5"/>
      <c r="I75" s="5"/>
      <c r="J75" s="5"/>
      <c r="K75" s="5"/>
      <c r="L75" s="2"/>
      <c r="M75" s="2"/>
      <c r="N75" s="2"/>
      <c r="O75" s="2"/>
    </row>
    <row r="76" spans="1:15" ht="15" customHeight="1">
      <c r="A76" s="22"/>
      <c r="B76" s="4"/>
      <c r="C76" s="4"/>
      <c r="D76" s="11"/>
      <c r="E76" s="2"/>
      <c r="F76" s="2"/>
      <c r="G76" s="3"/>
      <c r="H76" s="5"/>
      <c r="I76" s="5"/>
      <c r="J76" s="5"/>
      <c r="K76" s="5"/>
      <c r="L76" s="2"/>
      <c r="M76" s="2"/>
      <c r="N76" s="2"/>
      <c r="O76" s="2"/>
    </row>
    <row r="77" spans="1:15" ht="15" customHeight="1">
      <c r="A77" s="22"/>
      <c r="B77" s="4"/>
      <c r="C77" s="4"/>
      <c r="D77" s="11"/>
      <c r="E77" s="2"/>
      <c r="F77" s="2"/>
      <c r="G77" s="3"/>
      <c r="H77" s="5"/>
      <c r="I77" s="5"/>
      <c r="J77" s="5"/>
      <c r="K77" s="5"/>
      <c r="L77" s="2"/>
      <c r="M77" s="2"/>
      <c r="N77" s="2"/>
      <c r="O77" s="2"/>
    </row>
    <row r="78" spans="1:15" ht="15" customHeight="1">
      <c r="A78" s="22"/>
      <c r="B78" s="4"/>
      <c r="C78" s="4"/>
      <c r="D78" s="11"/>
      <c r="E78" s="2"/>
      <c r="F78" s="2"/>
      <c r="G78" s="3"/>
      <c r="H78" s="5"/>
      <c r="I78" s="5"/>
      <c r="J78" s="5"/>
      <c r="K78" s="5"/>
      <c r="L78" s="2"/>
      <c r="M78" s="2"/>
      <c r="N78" s="2"/>
      <c r="O78" s="2"/>
    </row>
    <row r="79" spans="1:15" ht="15" customHeight="1">
      <c r="A79" s="22"/>
      <c r="B79" s="4"/>
      <c r="C79" s="4"/>
      <c r="D79" s="11"/>
      <c r="E79" s="2"/>
      <c r="F79" s="2"/>
      <c r="G79" s="3"/>
      <c r="H79" s="5"/>
      <c r="I79" s="5"/>
      <c r="J79" s="5"/>
      <c r="K79" s="5"/>
      <c r="L79" s="2"/>
      <c r="M79" s="2"/>
      <c r="N79" s="2"/>
      <c r="O79" s="2"/>
    </row>
    <row r="80" spans="1:15" ht="15" customHeight="1">
      <c r="A80" s="22"/>
      <c r="B80" s="4"/>
      <c r="C80" s="4"/>
      <c r="D80" s="11"/>
      <c r="E80" s="2"/>
      <c r="F80" s="2"/>
      <c r="G80" s="3"/>
      <c r="H80" s="5"/>
      <c r="I80" s="5"/>
      <c r="J80" s="5"/>
      <c r="K80" s="5"/>
      <c r="L80" s="2"/>
      <c r="M80" s="2"/>
      <c r="N80" s="2"/>
      <c r="O80" s="2"/>
    </row>
    <row r="81" spans="1:15" ht="15" customHeight="1">
      <c r="A81" s="22"/>
      <c r="B81" s="4"/>
      <c r="C81" s="4"/>
      <c r="D81" s="11"/>
      <c r="E81" s="2"/>
      <c r="F81" s="2"/>
      <c r="G81" s="3"/>
      <c r="H81" s="5"/>
      <c r="I81" s="5"/>
      <c r="J81" s="5"/>
      <c r="K81" s="5"/>
      <c r="L81" s="2"/>
      <c r="M81" s="2"/>
      <c r="N81" s="2"/>
      <c r="O81" s="2"/>
    </row>
    <row r="82" spans="1:15" ht="15" customHeight="1">
      <c r="A82" s="22"/>
      <c r="B82" s="4"/>
      <c r="C82" s="4"/>
      <c r="D82" s="11"/>
      <c r="E82" s="2"/>
      <c r="F82" s="2"/>
      <c r="G82" s="3"/>
      <c r="H82" s="5"/>
      <c r="I82" s="5"/>
      <c r="J82" s="5"/>
      <c r="K82" s="5"/>
      <c r="L82" s="2"/>
      <c r="M82" s="2"/>
      <c r="N82" s="2"/>
      <c r="O82" s="2"/>
    </row>
    <row r="83" spans="1:15" ht="15" customHeight="1">
      <c r="A83" s="22"/>
      <c r="B83" s="4"/>
      <c r="C83" s="4"/>
      <c r="D83" s="11"/>
      <c r="E83" s="2"/>
      <c r="F83" s="2"/>
      <c r="G83" s="3"/>
      <c r="H83" s="5"/>
      <c r="I83" s="5"/>
      <c r="J83" s="5"/>
      <c r="K83" s="5"/>
      <c r="L83" s="2"/>
      <c r="M83" s="2"/>
      <c r="N83" s="2"/>
      <c r="O83" s="2"/>
    </row>
    <row r="84" spans="1:15" ht="15" customHeight="1">
      <c r="A84" s="3"/>
      <c r="B84" s="2"/>
      <c r="C84" s="2"/>
      <c r="D84" s="11"/>
      <c r="E84" s="2"/>
      <c r="F84" s="2"/>
      <c r="G84" s="3"/>
      <c r="H84" s="5"/>
      <c r="I84" s="5"/>
      <c r="J84" s="5"/>
      <c r="K84" s="5"/>
      <c r="L84" s="2"/>
      <c r="M84" s="36"/>
      <c r="N84" s="5"/>
      <c r="O84" s="5"/>
    </row>
    <row r="85" spans="1:15" ht="15" customHeight="1">
      <c r="A85" s="3"/>
      <c r="B85" s="2"/>
      <c r="C85" s="2"/>
      <c r="D85" s="11"/>
      <c r="E85" s="2"/>
      <c r="F85" s="2"/>
      <c r="G85" s="3"/>
      <c r="H85" s="5"/>
      <c r="I85" s="5"/>
      <c r="J85" s="5"/>
      <c r="K85" s="5"/>
      <c r="L85" s="2"/>
      <c r="M85" s="36"/>
      <c r="N85" s="5"/>
      <c r="O85" s="5"/>
    </row>
    <row r="86" spans="1:15" ht="15" customHeight="1">
      <c r="A86" s="3"/>
      <c r="B86" s="2"/>
      <c r="C86" s="2"/>
      <c r="D86" s="11"/>
      <c r="E86" s="2"/>
      <c r="F86" s="2"/>
      <c r="G86" s="3"/>
      <c r="H86" s="5"/>
      <c r="I86" s="5"/>
      <c r="J86" s="5"/>
      <c r="K86" s="5"/>
      <c r="L86" s="2"/>
      <c r="M86" s="5"/>
      <c r="N86" s="5"/>
      <c r="O86" s="5"/>
    </row>
    <row r="87" spans="1:15" ht="15" customHeight="1">
      <c r="A87" s="3"/>
      <c r="B87" s="2"/>
      <c r="C87" s="2"/>
      <c r="D87" s="11"/>
      <c r="E87" s="2"/>
      <c r="F87" s="2"/>
      <c r="G87" s="3"/>
      <c r="H87" s="5"/>
      <c r="I87" s="5"/>
      <c r="J87" s="5"/>
      <c r="K87" s="5"/>
      <c r="L87" s="2"/>
      <c r="M87" s="5"/>
      <c r="N87" s="5"/>
      <c r="O87" s="5"/>
    </row>
    <row r="88" spans="1:15" ht="15" customHeight="1">
      <c r="A88" s="3"/>
      <c r="B88" s="2"/>
      <c r="C88" s="2"/>
      <c r="D88" s="11"/>
      <c r="E88" s="2"/>
      <c r="F88" s="2"/>
      <c r="G88" s="3"/>
      <c r="H88" s="5"/>
      <c r="I88" s="5"/>
      <c r="J88" s="5"/>
      <c r="K88" s="5"/>
      <c r="L88" s="2"/>
      <c r="M88" s="5"/>
      <c r="N88" s="5"/>
      <c r="O88" s="5"/>
    </row>
    <row r="89" spans="1:15" ht="15" customHeight="1">
      <c r="A89" s="3"/>
      <c r="B89" s="2"/>
      <c r="C89" s="2"/>
      <c r="D89" s="11"/>
      <c r="E89" s="2"/>
      <c r="F89" s="2"/>
      <c r="G89" s="3"/>
      <c r="H89" s="5"/>
      <c r="I89" s="5"/>
      <c r="J89" s="5"/>
      <c r="K89" s="5"/>
      <c r="L89" s="2"/>
      <c r="M89" s="5"/>
      <c r="N89" s="5"/>
      <c r="O89" s="5"/>
    </row>
    <row r="90" spans="1:15" ht="15" customHeight="1">
      <c r="A90" s="3"/>
      <c r="B90" s="2"/>
      <c r="C90" s="2"/>
      <c r="D90" s="11"/>
      <c r="E90" s="2"/>
      <c r="F90" s="2"/>
      <c r="G90" s="3"/>
      <c r="H90" s="5"/>
      <c r="I90" s="5"/>
      <c r="J90" s="5"/>
      <c r="K90" s="5"/>
      <c r="L90" s="2"/>
      <c r="M90" s="5"/>
      <c r="N90" s="5"/>
      <c r="O90" s="5"/>
    </row>
    <row r="91" spans="1:15" ht="15" customHeight="1">
      <c r="A91" s="3"/>
      <c r="B91" s="2"/>
      <c r="C91" s="2"/>
      <c r="D91" s="11"/>
      <c r="E91" s="2"/>
      <c r="F91" s="2"/>
      <c r="G91" s="3"/>
      <c r="H91" s="5"/>
      <c r="I91" s="5"/>
      <c r="J91" s="5"/>
      <c r="K91" s="5"/>
      <c r="L91" s="2"/>
      <c r="M91" s="5"/>
      <c r="N91" s="5"/>
      <c r="O91" s="5"/>
    </row>
    <row r="92" spans="1:15" ht="15" customHeight="1">
      <c r="A92" s="3"/>
      <c r="B92" s="2"/>
      <c r="C92" s="2"/>
      <c r="D92" s="11"/>
      <c r="E92" s="2"/>
      <c r="F92" s="2"/>
      <c r="G92" s="3"/>
      <c r="H92" s="5"/>
      <c r="I92" s="5"/>
      <c r="J92" s="5"/>
      <c r="K92" s="5"/>
      <c r="L92" s="2"/>
      <c r="M92" s="5"/>
      <c r="N92" s="5"/>
      <c r="O92" s="5"/>
    </row>
    <row r="93" spans="1:15" ht="15" customHeight="1">
      <c r="A93" s="3"/>
      <c r="B93" s="2"/>
      <c r="C93" s="2"/>
      <c r="D93" s="11"/>
      <c r="E93" s="2"/>
      <c r="F93" s="2"/>
      <c r="G93" s="3"/>
      <c r="H93" s="5"/>
      <c r="I93" s="5"/>
      <c r="J93" s="5"/>
      <c r="K93" s="5"/>
      <c r="L93" s="2"/>
      <c r="M93" s="5"/>
      <c r="N93" s="5"/>
      <c r="O93" s="5"/>
    </row>
    <row r="94" spans="1:15" ht="15" customHeight="1">
      <c r="A94" s="3"/>
      <c r="B94" s="2"/>
      <c r="C94" s="2"/>
      <c r="D94" s="11"/>
      <c r="E94" s="2"/>
      <c r="F94" s="2"/>
      <c r="G94" s="3"/>
      <c r="H94" s="5"/>
      <c r="I94" s="5"/>
      <c r="J94" s="5"/>
      <c r="K94" s="5"/>
      <c r="L94" s="2"/>
      <c r="M94" s="5"/>
      <c r="N94" s="5"/>
      <c r="O94" s="5"/>
    </row>
    <row r="95" spans="1:15" ht="15" customHeight="1">
      <c r="A95" s="3"/>
      <c r="B95" s="2"/>
      <c r="C95" s="2"/>
      <c r="D95" s="11"/>
      <c r="E95" s="2"/>
      <c r="F95" s="2"/>
      <c r="G95" s="3"/>
      <c r="H95" s="5"/>
      <c r="I95" s="5"/>
      <c r="J95" s="5"/>
      <c r="K95" s="5"/>
      <c r="L95" s="2"/>
      <c r="M95" s="5"/>
      <c r="N95" s="5"/>
      <c r="O95" s="5"/>
    </row>
    <row r="96" spans="1:15" ht="15" customHeight="1">
      <c r="A96" s="3"/>
      <c r="B96" s="2"/>
      <c r="C96" s="2"/>
      <c r="D96" s="11"/>
      <c r="E96" s="2"/>
      <c r="F96" s="2"/>
      <c r="G96" s="3"/>
      <c r="H96" s="5"/>
      <c r="I96" s="5"/>
      <c r="J96" s="5"/>
      <c r="K96" s="5"/>
      <c r="L96" s="2"/>
      <c r="M96" s="5"/>
      <c r="N96" s="5"/>
      <c r="O9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6"/>
  <sheetViews>
    <sheetView showGridLines="0" showOutlineSymbols="0" zoomScale="70" zoomScaleNormal="70" workbookViewId="0" topLeftCell="A1">
      <selection activeCell="K6" sqref="K6"/>
    </sheetView>
  </sheetViews>
  <sheetFormatPr defaultColWidth="9.140625" defaultRowHeight="12.75"/>
  <cols>
    <col min="1" max="1" width="13.421875" style="6" customWidth="1"/>
    <col min="2" max="2" width="10.7109375" style="6" customWidth="1"/>
    <col min="3" max="3" width="10.421875" style="6" customWidth="1"/>
    <col min="4" max="4" width="15.57421875" style="6" customWidth="1"/>
    <col min="5" max="5" width="10.7109375" style="6" customWidth="1"/>
    <col min="6" max="7" width="6.57421875" style="6" customWidth="1"/>
    <col min="8" max="11" width="7.7109375" style="6" customWidth="1"/>
    <col min="12" max="12" width="6.57421875" style="6" customWidth="1"/>
    <col min="13" max="16" width="7.7109375" style="6" customWidth="1"/>
    <col min="17" max="17" width="8.421875" style="12" customWidth="1"/>
    <col min="18" max="18" width="6.00390625" style="6" customWidth="1"/>
    <col min="19" max="19" width="6.57421875" style="6" customWidth="1"/>
    <col min="20" max="20" width="7.28125" style="9" customWidth="1"/>
    <col min="21" max="21" width="7.421875" style="6" customWidth="1"/>
    <col min="22" max="22" width="7.7109375" style="6" customWidth="1"/>
    <col min="23" max="23" width="11.140625" style="17" customWidth="1"/>
    <col min="24" max="24" width="8.8515625" style="17" customWidth="1"/>
    <col min="25" max="25" width="8.140625" style="6" customWidth="1"/>
    <col min="26" max="26" width="7.57421875" style="6" customWidth="1"/>
    <col min="27" max="31" width="10.00390625" style="6" customWidth="1"/>
    <col min="32" max="16384" width="11.140625" style="6" customWidth="1"/>
  </cols>
  <sheetData>
    <row r="1" spans="1:31" ht="15">
      <c r="A1" s="1" t="s">
        <v>0</v>
      </c>
      <c r="B1" s="2"/>
      <c r="C1" s="2"/>
      <c r="D1" s="2"/>
      <c r="E1" s="2" t="s">
        <v>1</v>
      </c>
      <c r="F1" s="2" t="s">
        <v>70</v>
      </c>
      <c r="G1" s="2"/>
      <c r="H1" s="3" t="s">
        <v>78</v>
      </c>
      <c r="I1" s="4" t="s">
        <v>3</v>
      </c>
      <c r="J1" s="5"/>
      <c r="N1" s="5"/>
      <c r="O1" s="5"/>
      <c r="P1" s="5"/>
      <c r="Q1" s="7"/>
      <c r="R1" s="8"/>
      <c r="S1" s="5"/>
      <c r="U1" s="5"/>
      <c r="V1" s="2"/>
      <c r="W1" s="8"/>
      <c r="X1" s="8"/>
      <c r="Y1" s="2"/>
      <c r="Z1" s="2"/>
      <c r="AA1" s="2"/>
      <c r="AB1" s="2"/>
      <c r="AC1" s="2"/>
      <c r="AD1" s="2"/>
      <c r="AE1" s="2"/>
    </row>
    <row r="2" spans="1:31" ht="15.75">
      <c r="A2" s="3" t="s">
        <v>4</v>
      </c>
      <c r="B2" s="10" t="s">
        <v>5</v>
      </c>
      <c r="C2" s="2"/>
      <c r="D2" s="11"/>
      <c r="E2" s="2"/>
      <c r="F2" s="2"/>
      <c r="G2" s="3"/>
      <c r="I2" s="5"/>
      <c r="J2" s="5"/>
      <c r="M2" s="2"/>
      <c r="N2" s="3" t="s">
        <v>6</v>
      </c>
      <c r="O2" s="58">
        <f>1000/$O$6</f>
        <v>0.72</v>
      </c>
      <c r="R2" s="8"/>
      <c r="S2" s="5"/>
      <c r="U2" s="5"/>
      <c r="V2" s="2"/>
      <c r="W2" s="8"/>
      <c r="X2" s="8"/>
      <c r="Y2" s="2"/>
      <c r="Z2" s="2"/>
      <c r="AA2" s="2"/>
      <c r="AB2" s="2"/>
      <c r="AC2" s="2"/>
      <c r="AD2" s="2"/>
      <c r="AE2" s="2"/>
    </row>
    <row r="3" spans="1:31" ht="15" customHeight="1">
      <c r="A3" s="2"/>
      <c r="B3" s="2"/>
      <c r="C3" s="2"/>
      <c r="D3" s="2"/>
      <c r="E3" s="2"/>
      <c r="F3" s="2"/>
      <c r="G3" s="2"/>
      <c r="H3" s="2"/>
      <c r="I3" s="5"/>
      <c r="J3" s="5"/>
      <c r="K3" s="2"/>
      <c r="M3" s="2"/>
      <c r="N3" s="3" t="s">
        <v>7</v>
      </c>
      <c r="O3" s="58">
        <f>IF($B$4&gt;1000,$E$7/1.5,$E$7/3.5)</f>
        <v>1</v>
      </c>
      <c r="R3" s="8"/>
      <c r="S3" s="5"/>
      <c r="U3" s="5"/>
      <c r="V3" s="2"/>
      <c r="W3" s="8"/>
      <c r="X3" s="8"/>
      <c r="Y3" s="2"/>
      <c r="Z3" s="2"/>
      <c r="AA3" s="2"/>
      <c r="AB3" s="2"/>
      <c r="AC3" s="2"/>
      <c r="AD3" s="2"/>
      <c r="AE3" s="2"/>
    </row>
    <row r="4" spans="1:31" ht="15" customHeight="1">
      <c r="A4" s="3" t="s">
        <v>71</v>
      </c>
      <c r="B4" s="66">
        <v>830</v>
      </c>
      <c r="C4" s="2"/>
      <c r="D4" s="11" t="s">
        <v>8</v>
      </c>
      <c r="E4" s="14">
        <v>400</v>
      </c>
      <c r="H4" s="2"/>
      <c r="I4" s="3" t="s">
        <v>9</v>
      </c>
      <c r="J4" s="13">
        <v>0.5</v>
      </c>
      <c r="N4" s="3" t="s">
        <v>10</v>
      </c>
      <c r="O4" s="49">
        <f>B7*1.518</f>
        <v>0.39468000000000003</v>
      </c>
      <c r="P4" s="2" t="s">
        <v>11</v>
      </c>
      <c r="Q4" s="1" t="s">
        <v>12</v>
      </c>
      <c r="R4" s="7"/>
      <c r="S4" s="5"/>
      <c r="U4" s="5"/>
      <c r="V4" s="2"/>
      <c r="W4" s="8"/>
      <c r="X4" s="8"/>
      <c r="Y4" s="2"/>
      <c r="Z4" s="2"/>
      <c r="AA4" s="2"/>
      <c r="AB4" s="2"/>
      <c r="AC4" s="2"/>
      <c r="AD4" s="2"/>
      <c r="AE4" s="2"/>
    </row>
    <row r="5" spans="1:31" ht="15" customHeight="1">
      <c r="A5" s="3" t="s">
        <v>13</v>
      </c>
      <c r="B5" s="15">
        <v>0.85</v>
      </c>
      <c r="C5" s="2"/>
      <c r="D5" s="11" t="s">
        <v>14</v>
      </c>
      <c r="E5" s="14">
        <v>0.11</v>
      </c>
      <c r="H5" s="2"/>
      <c r="I5" s="3" t="s">
        <v>15</v>
      </c>
      <c r="J5" s="13">
        <v>0.01</v>
      </c>
      <c r="K5" s="5"/>
      <c r="L5" s="2"/>
      <c r="M5" s="5"/>
      <c r="N5" s="3" t="s">
        <v>16</v>
      </c>
      <c r="O5" s="58">
        <v>0.55</v>
      </c>
      <c r="Q5" s="1" t="s">
        <v>17</v>
      </c>
      <c r="R5" s="7"/>
      <c r="U5" s="5"/>
      <c r="V5" s="2"/>
      <c r="W5" s="8"/>
      <c r="X5" s="8"/>
      <c r="Y5" s="2"/>
      <c r="Z5" s="2"/>
      <c r="AA5" s="2"/>
      <c r="AB5" s="2"/>
      <c r="AC5" s="2"/>
      <c r="AD5" s="2"/>
      <c r="AE5" s="2"/>
    </row>
    <row r="6" spans="1:31" ht="15" customHeight="1">
      <c r="A6" s="3" t="s">
        <v>18</v>
      </c>
      <c r="B6" s="14">
        <v>9</v>
      </c>
      <c r="C6" s="2"/>
      <c r="D6" s="11" t="s">
        <v>72</v>
      </c>
      <c r="E6" s="14">
        <v>1320</v>
      </c>
      <c r="H6" s="2"/>
      <c r="I6" s="3" t="s">
        <v>19</v>
      </c>
      <c r="J6" s="16">
        <v>480</v>
      </c>
      <c r="K6" s="6" t="s">
        <v>81</v>
      </c>
      <c r="M6" s="5"/>
      <c r="N6" s="11" t="s">
        <v>20</v>
      </c>
      <c r="O6" s="62">
        <f>(O7)</f>
        <v>1388.888888888889</v>
      </c>
      <c r="P6" s="8"/>
      <c r="Q6" s="5"/>
      <c r="U6" s="5"/>
      <c r="V6" s="2"/>
      <c r="W6" s="8"/>
      <c r="Z6" s="2"/>
      <c r="AA6" s="2"/>
      <c r="AB6" s="2"/>
      <c r="AC6" s="2"/>
      <c r="AD6" s="2"/>
      <c r="AE6" s="2"/>
    </row>
    <row r="7" spans="1:31" ht="15" customHeight="1">
      <c r="A7" s="3" t="s">
        <v>21</v>
      </c>
      <c r="B7" s="14">
        <v>0.26</v>
      </c>
      <c r="C7" s="2" t="s">
        <v>11</v>
      </c>
      <c r="D7" s="11" t="s">
        <v>22</v>
      </c>
      <c r="E7" s="14">
        <v>3.5</v>
      </c>
      <c r="H7" s="2"/>
      <c r="I7" s="3" t="s">
        <v>23</v>
      </c>
      <c r="J7" s="15">
        <v>7.037</v>
      </c>
      <c r="K7" s="5"/>
      <c r="M7" s="5"/>
      <c r="N7" s="11" t="s">
        <v>24</v>
      </c>
      <c r="O7" s="63">
        <f>1/((1/$E$8)-$J$9*10^-6)</f>
        <v>1388.888888888889</v>
      </c>
      <c r="P7" s="8"/>
      <c r="Q7" s="5"/>
      <c r="U7" s="5"/>
      <c r="V7" s="2"/>
      <c r="Z7" s="2"/>
      <c r="AA7" s="2"/>
      <c r="AB7" s="2"/>
      <c r="AC7" s="2"/>
      <c r="AD7" s="2"/>
      <c r="AE7" s="2"/>
    </row>
    <row r="8" spans="1:31" ht="15" customHeight="1">
      <c r="A8" s="3" t="s">
        <v>25</v>
      </c>
      <c r="B8" s="14">
        <v>-117</v>
      </c>
      <c r="C8" s="2"/>
      <c r="D8" s="3" t="s">
        <v>26</v>
      </c>
      <c r="E8" s="18">
        <v>1250</v>
      </c>
      <c r="F8" s="2"/>
      <c r="G8" s="5"/>
      <c r="H8" s="5"/>
      <c r="I8" s="11" t="s">
        <v>27</v>
      </c>
      <c r="J8" s="16">
        <f>2.5*10^5/$E$8</f>
        <v>200</v>
      </c>
      <c r="N8" s="3" t="s">
        <v>28</v>
      </c>
      <c r="O8" s="64">
        <f>(10^-6)*$J$8*$O$7</f>
        <v>0.27777777777777773</v>
      </c>
      <c r="P8" s="8"/>
      <c r="Q8" s="5"/>
      <c r="U8" s="5"/>
      <c r="V8" s="2"/>
      <c r="W8" s="8"/>
      <c r="X8" s="8"/>
      <c r="Y8" s="2"/>
      <c r="Z8" s="2"/>
      <c r="AA8" s="2"/>
      <c r="AB8" s="2"/>
      <c r="AC8" s="2"/>
      <c r="AD8" s="2"/>
      <c r="AE8" s="2"/>
    </row>
    <row r="9" spans="1:31" ht="15" customHeight="1">
      <c r="A9" s="3" t="s">
        <v>29</v>
      </c>
      <c r="B9" s="14">
        <v>0.8</v>
      </c>
      <c r="C9" s="2"/>
      <c r="D9" s="11" t="s">
        <v>30</v>
      </c>
      <c r="E9" s="14">
        <v>1000</v>
      </c>
      <c r="F9" s="2"/>
      <c r="G9" s="5"/>
      <c r="I9" s="11" t="s">
        <v>31</v>
      </c>
      <c r="J9" s="14">
        <v>80</v>
      </c>
      <c r="K9" s="5"/>
      <c r="M9" s="5"/>
      <c r="N9" s="3" t="s">
        <v>32</v>
      </c>
      <c r="O9" s="65">
        <f>(O8)</f>
        <v>0.27777777777777773</v>
      </c>
      <c r="P9" s="8"/>
      <c r="Q9" s="5"/>
      <c r="U9" s="5"/>
      <c r="V9" s="2"/>
      <c r="X9" s="8"/>
      <c r="Y9" s="2"/>
      <c r="Z9" s="2"/>
      <c r="AA9" s="2"/>
      <c r="AB9" s="2"/>
      <c r="AC9" s="2"/>
      <c r="AD9" s="2"/>
      <c r="AE9" s="2"/>
    </row>
    <row r="10" spans="1:31" ht="15" customHeight="1">
      <c r="A10" s="3" t="s">
        <v>33</v>
      </c>
      <c r="B10" s="14">
        <v>0.3</v>
      </c>
      <c r="C10" s="2"/>
      <c r="D10" s="11" t="s">
        <v>34</v>
      </c>
      <c r="E10" s="14">
        <v>7.5</v>
      </c>
      <c r="F10" s="2"/>
      <c r="G10" s="2"/>
      <c r="I10" s="11" t="s">
        <v>35</v>
      </c>
      <c r="J10" s="19">
        <v>-9.5</v>
      </c>
      <c r="M10" s="5"/>
      <c r="N10" s="3" t="s">
        <v>36</v>
      </c>
      <c r="O10" s="51">
        <f>S34-R34</f>
        <v>3.6819942165871087</v>
      </c>
      <c r="P10" s="5" t="s">
        <v>37</v>
      </c>
      <c r="Q10" s="5"/>
      <c r="S10" s="5"/>
      <c r="U10" s="5"/>
      <c r="V10" s="2"/>
      <c r="W10" s="20" t="s">
        <v>38</v>
      </c>
      <c r="X10" s="8"/>
      <c r="Z10" s="2"/>
      <c r="AA10" s="2"/>
      <c r="AB10" s="2"/>
      <c r="AC10" s="2"/>
      <c r="AD10" s="2"/>
      <c r="AE10" s="2"/>
    </row>
    <row r="11" spans="1:31" ht="15" customHeight="1">
      <c r="A11" s="2"/>
      <c r="B11" s="2"/>
      <c r="C11" s="2"/>
      <c r="D11" s="11" t="s">
        <v>39</v>
      </c>
      <c r="E11" s="14">
        <v>1.5</v>
      </c>
      <c r="F11" s="2"/>
      <c r="G11" s="3"/>
      <c r="I11" s="3" t="s">
        <v>40</v>
      </c>
      <c r="J11" s="21">
        <v>9</v>
      </c>
      <c r="K11" s="22"/>
      <c r="L11" s="22"/>
      <c r="M11" s="22"/>
      <c r="N11" s="22"/>
      <c r="O11" s="23"/>
      <c r="P11" s="22"/>
      <c r="Q11" s="23"/>
      <c r="R11" s="22"/>
      <c r="S11" s="22"/>
      <c r="U11" s="22"/>
      <c r="V11" s="2"/>
      <c r="W11" s="20" t="s">
        <v>41</v>
      </c>
      <c r="X11" s="8" t="s">
        <v>42</v>
      </c>
      <c r="Z11" s="24" t="s">
        <v>43</v>
      </c>
      <c r="AA11" s="2"/>
      <c r="AB11" s="2"/>
      <c r="AC11" s="2"/>
      <c r="AD11" s="2"/>
      <c r="AE11" s="2"/>
    </row>
    <row r="12" spans="1:31" ht="15" customHeight="1">
      <c r="A12" s="2"/>
      <c r="B12" s="8" t="s">
        <v>73</v>
      </c>
      <c r="C12" s="8" t="s">
        <v>51</v>
      </c>
      <c r="D12" s="2"/>
      <c r="E12" s="2"/>
      <c r="F12" s="2"/>
      <c r="G12" s="3"/>
      <c r="H12" s="25" t="s">
        <v>44</v>
      </c>
      <c r="I12" s="11" t="s">
        <v>44</v>
      </c>
      <c r="J12" s="2"/>
      <c r="K12" s="5"/>
      <c r="L12" s="11" t="s">
        <v>44</v>
      </c>
      <c r="M12" s="11"/>
      <c r="N12" s="11" t="s">
        <v>44</v>
      </c>
      <c r="O12" s="11" t="s">
        <v>44</v>
      </c>
      <c r="P12" s="11" t="s">
        <v>44</v>
      </c>
      <c r="Q12" s="26" t="s">
        <v>44</v>
      </c>
      <c r="R12" s="8" t="s">
        <v>44</v>
      </c>
      <c r="S12" s="5" t="s">
        <v>44</v>
      </c>
      <c r="T12" s="4" t="s">
        <v>44</v>
      </c>
      <c r="U12" s="4" t="s">
        <v>45</v>
      </c>
      <c r="V12" s="27" t="s">
        <v>44</v>
      </c>
      <c r="W12" s="28" t="s">
        <v>46</v>
      </c>
      <c r="X12" s="8" t="s">
        <v>47</v>
      </c>
      <c r="Y12" s="24" t="s">
        <v>48</v>
      </c>
      <c r="Z12" s="8" t="s">
        <v>49</v>
      </c>
      <c r="AA12" s="2"/>
      <c r="AB12" s="2"/>
      <c r="AC12" s="2"/>
      <c r="AD12" s="2"/>
      <c r="AE12" s="2"/>
    </row>
    <row r="13" spans="1:31" ht="15" customHeight="1">
      <c r="A13" s="3" t="s">
        <v>50</v>
      </c>
      <c r="B13" s="8" t="s">
        <v>74</v>
      </c>
      <c r="C13" s="8" t="s">
        <v>74</v>
      </c>
      <c r="D13" s="29" t="s">
        <v>75</v>
      </c>
      <c r="E13" s="29" t="s">
        <v>76</v>
      </c>
      <c r="F13" s="2" t="s">
        <v>77</v>
      </c>
      <c r="G13" s="3" t="s">
        <v>52</v>
      </c>
      <c r="H13" s="25" t="s">
        <v>53</v>
      </c>
      <c r="I13" s="11" t="s">
        <v>54</v>
      </c>
      <c r="J13" s="8" t="s">
        <v>55</v>
      </c>
      <c r="K13" s="5" t="s">
        <v>56</v>
      </c>
      <c r="L13" s="11" t="s">
        <v>57</v>
      </c>
      <c r="M13" s="11" t="s">
        <v>58</v>
      </c>
      <c r="N13" s="11" t="s">
        <v>59</v>
      </c>
      <c r="O13" s="11" t="s">
        <v>60</v>
      </c>
      <c r="P13" s="11" t="s">
        <v>61</v>
      </c>
      <c r="Q13" s="26" t="s">
        <v>62</v>
      </c>
      <c r="R13" s="8" t="s">
        <v>63</v>
      </c>
      <c r="S13" s="30" t="s">
        <v>64</v>
      </c>
      <c r="T13" s="4" t="s">
        <v>65</v>
      </c>
      <c r="U13" s="5" t="s">
        <v>66</v>
      </c>
      <c r="V13" s="27" t="s">
        <v>47</v>
      </c>
      <c r="W13" s="8" t="s">
        <v>67</v>
      </c>
      <c r="X13" s="8" t="s">
        <v>68</v>
      </c>
      <c r="Y13" s="8" t="s">
        <v>69</v>
      </c>
      <c r="Z13" s="8" t="s">
        <v>69</v>
      </c>
      <c r="AA13" s="2"/>
      <c r="AB13" s="2"/>
      <c r="AC13" s="2"/>
      <c r="AD13" s="2"/>
      <c r="AE13" s="2"/>
    </row>
    <row r="14" spans="1:31" s="47" customFormat="1" ht="15" customHeight="1">
      <c r="A14" s="37">
        <f>$J$4</f>
        <v>0.5</v>
      </c>
      <c r="B14" s="40">
        <f aca="true" t="shared" si="0" ref="B14:B34">0.25*$E$5*$B$4*(1-($E$6/$B$4)^4)</f>
        <v>-123.18887999377392</v>
      </c>
      <c r="C14" s="68">
        <f aca="true" t="shared" si="1" ref="C14:C34">0.7*$E$5*$B$5</f>
        <v>0.06545</v>
      </c>
      <c r="D14" s="39">
        <f aca="true" t="shared" si="2" ref="D14:D34">(0.187/(A14*$B$5))*(10^6/(B14^2+C14^2)^(0.5))</f>
        <v>3571.7504528103304</v>
      </c>
      <c r="E14" s="39">
        <f aca="true" t="shared" si="3" ref="E14:E34">$E$4/A14</f>
        <v>800</v>
      </c>
      <c r="F14" s="40">
        <f aca="true" t="shared" si="4" ref="F14:F34">SQRT(($J$6/D14)^2+($J$6/E14)^2+$O$4^2)</f>
        <v>0.7306383557239038</v>
      </c>
      <c r="G14" s="37">
        <f aca="true" t="shared" si="5" ref="G14:G34">SQRT(F14^2+(350/$E$9)^2)</f>
        <v>0.8101434483194502</v>
      </c>
      <c r="H14" s="41">
        <f aca="true" t="shared" si="6" ref="H14:H34">-10*LOG10(1-1.425*EXP(-1.28*($O$2/G14)^2))</f>
        <v>3.173977044873749</v>
      </c>
      <c r="I14" s="40">
        <f aca="true" t="shared" si="7" ref="I14:I34">A14*$O$3*((1/(0.00094*$B$4)^4)+1.05)</f>
        <v>1.874417134610773</v>
      </c>
      <c r="J14" s="38">
        <f aca="true" t="shared" si="8" ref="J14:J34">(10^-6)*3.14*$O$6*B14*A14*$B$5</f>
        <v>-0.22832716715512683</v>
      </c>
      <c r="K14" s="40">
        <f aca="true" t="shared" si="9" ref="K14:K34">($B$9/SQRT(2))*(1-EXP(-1*J14^2))</f>
        <v>0.028735499143564252</v>
      </c>
      <c r="L14" s="40">
        <f aca="true" t="shared" si="10" ref="L14:L34">10*LOG10(1/SQRT(1-($J$7*K14)^2))</f>
        <v>0.09065694139380022</v>
      </c>
      <c r="M14" s="40">
        <f aca="true" t="shared" si="11" ref="M14:M34">$O$5*10^6*($J$6/G14)*10^($B$8/10)</f>
        <v>0.0006501925705187942</v>
      </c>
      <c r="N14" s="40">
        <f aca="true" t="shared" si="12" ref="N14:N34">10*LOG10(1/SQRT(1-($J$7^2)*M14))</f>
        <v>0.07106546229212392</v>
      </c>
      <c r="O14" s="40">
        <f aca="true" t="shared" si="13" ref="O14:O34">Y14-Z14</f>
        <v>0</v>
      </c>
      <c r="P14" s="40">
        <f aca="true" t="shared" si="14" ref="P14:P34">$B$10</f>
        <v>0.3</v>
      </c>
      <c r="Q14" s="42">
        <f aca="true" t="shared" si="15" ref="Q14:Q34">-10*LOG10((2*SIN(3.1416*$O$9))/(3.1416*$O$9*(1-$O$9^2))-1)</f>
        <v>0.4458340956509569</v>
      </c>
      <c r="R14" s="43">
        <f aca="true" t="shared" si="16" ref="R14:R34">$E$10-$E$11</f>
        <v>6</v>
      </c>
      <c r="S14" s="44">
        <f aca="true" t="shared" si="17" ref="S14:S34">H14+I14+L14+N14+O14+P14+Q14</f>
        <v>5.955950678821402</v>
      </c>
      <c r="T14" s="40">
        <f aca="true" t="shared" si="18" ref="T14:T34">$E$11+I14</f>
        <v>3.374417134610773</v>
      </c>
      <c r="U14" s="40">
        <f aca="true" t="shared" si="19" ref="U14:U34">S14-I14</f>
        <v>4.081533544210629</v>
      </c>
      <c r="V14" s="45">
        <f aca="true" t="shared" si="20" ref="V14:V34">R14-S14</f>
        <v>0.04404932117859772</v>
      </c>
      <c r="W14" s="46">
        <f aca="true" t="shared" si="21" ref="W14:W34">$J$10-T14-Q14-O14</f>
        <v>-13.32025123026173</v>
      </c>
      <c r="X14" s="43"/>
      <c r="Y14" s="40">
        <f aca="true" t="shared" si="22" ref="Y14:Y34">10*LOG10((1+10^(-($B$6/10)))/(1-10^(-($B$6/10))))</f>
        <v>1.0993211590790997</v>
      </c>
      <c r="Z14" s="40">
        <f aca="true" t="shared" si="23" ref="Z14:Z34">10*LOG10((1+10^(-($J$11/10)))/(1-10^(-($J$11/10))))</f>
        <v>1.0993211590790997</v>
      </c>
      <c r="AA14" s="38"/>
      <c r="AB14" s="38"/>
      <c r="AC14" s="38"/>
      <c r="AD14" s="38"/>
      <c r="AE14" s="38"/>
    </row>
    <row r="15" spans="1:31" s="59" customFormat="1" ht="15" customHeight="1">
      <c r="A15" s="48">
        <f aca="true" t="shared" si="24" ref="A15:A34">A14+$J$5</f>
        <v>0.51</v>
      </c>
      <c r="B15" s="51">
        <f t="shared" si="0"/>
        <v>-123.18887999377392</v>
      </c>
      <c r="C15" s="69">
        <f t="shared" si="1"/>
        <v>0.06545</v>
      </c>
      <c r="D15" s="50">
        <f t="shared" si="2"/>
        <v>3501.716130206207</v>
      </c>
      <c r="E15" s="50">
        <f t="shared" si="3"/>
        <v>784.313725490196</v>
      </c>
      <c r="F15" s="51">
        <f t="shared" si="4"/>
        <v>0.7410168925705466</v>
      </c>
      <c r="G15" s="48">
        <f t="shared" si="5"/>
        <v>0.8195157320484512</v>
      </c>
      <c r="H15" s="52">
        <f t="shared" si="6"/>
        <v>3.284131549557272</v>
      </c>
      <c r="I15" s="51">
        <f t="shared" si="7"/>
        <v>1.9119054773029884</v>
      </c>
      <c r="J15" s="49">
        <f t="shared" si="8"/>
        <v>-0.23289371049822938</v>
      </c>
      <c r="K15" s="51">
        <f t="shared" si="9"/>
        <v>0.029865224968581613</v>
      </c>
      <c r="L15" s="51">
        <f t="shared" si="10"/>
        <v>0.09809192699057855</v>
      </c>
      <c r="M15" s="51">
        <f t="shared" si="11"/>
        <v>0.0006427567288246284</v>
      </c>
      <c r="N15" s="51">
        <f t="shared" si="12"/>
        <v>0.07023944328478653</v>
      </c>
      <c r="O15" s="51">
        <f t="shared" si="13"/>
        <v>0</v>
      </c>
      <c r="P15" s="51">
        <f t="shared" si="14"/>
        <v>0.3</v>
      </c>
      <c r="Q15" s="53">
        <f t="shared" si="15"/>
        <v>0.4458340956509569</v>
      </c>
      <c r="R15" s="54">
        <f t="shared" si="16"/>
        <v>6</v>
      </c>
      <c r="S15" s="55">
        <f t="shared" si="17"/>
        <v>6.110202492786582</v>
      </c>
      <c r="T15" s="51">
        <f t="shared" si="18"/>
        <v>3.411905477302988</v>
      </c>
      <c r="U15" s="51">
        <f t="shared" si="19"/>
        <v>4.198297015483594</v>
      </c>
      <c r="V15" s="56">
        <f t="shared" si="20"/>
        <v>-0.11020249278658234</v>
      </c>
      <c r="W15" s="57">
        <f t="shared" si="21"/>
        <v>-13.357739572953944</v>
      </c>
      <c r="X15" s="58">
        <f aca="true" t="shared" si="25" ref="X15:X33">(V16-V14)/2</f>
        <v>-0.15571055846423976</v>
      </c>
      <c r="Y15" s="51">
        <f t="shared" si="22"/>
        <v>1.0993211590790997</v>
      </c>
      <c r="Z15" s="51">
        <f t="shared" si="23"/>
        <v>1.0993211590790997</v>
      </c>
      <c r="AA15" s="49"/>
      <c r="AB15" s="49"/>
      <c r="AC15" s="49"/>
      <c r="AD15" s="49"/>
      <c r="AE15" s="49"/>
    </row>
    <row r="16" spans="1:31" s="59" customFormat="1" ht="15" customHeight="1">
      <c r="A16" s="48">
        <f t="shared" si="24"/>
        <v>0.52</v>
      </c>
      <c r="B16" s="51">
        <f t="shared" si="0"/>
        <v>-123.18887999377392</v>
      </c>
      <c r="C16" s="69">
        <f t="shared" si="1"/>
        <v>0.06545</v>
      </c>
      <c r="D16" s="50">
        <f t="shared" si="2"/>
        <v>3434.3754353945487</v>
      </c>
      <c r="E16" s="50">
        <f t="shared" si="3"/>
        <v>769.2307692307692</v>
      </c>
      <c r="F16" s="51">
        <f t="shared" si="4"/>
        <v>0.7514533328014801</v>
      </c>
      <c r="G16" s="48">
        <f t="shared" si="5"/>
        <v>0.8289644813732684</v>
      </c>
      <c r="H16" s="52">
        <f t="shared" si="6"/>
        <v>3.3967378724925554</v>
      </c>
      <c r="I16" s="51">
        <f t="shared" si="7"/>
        <v>1.949393819995204</v>
      </c>
      <c r="J16" s="49">
        <f t="shared" si="8"/>
        <v>-0.23746025384133193</v>
      </c>
      <c r="K16" s="51">
        <f t="shared" si="9"/>
        <v>0.031014873661044717</v>
      </c>
      <c r="L16" s="51">
        <f t="shared" si="10"/>
        <v>0.10598010821283474</v>
      </c>
      <c r="M16" s="51">
        <f t="shared" si="11"/>
        <v>0.0006354304231215874</v>
      </c>
      <c r="N16" s="51">
        <f t="shared" si="12"/>
        <v>0.06942589939833035</v>
      </c>
      <c r="O16" s="51">
        <f t="shared" si="13"/>
        <v>0</v>
      </c>
      <c r="P16" s="51">
        <f t="shared" si="14"/>
        <v>0.3</v>
      </c>
      <c r="Q16" s="53">
        <f t="shared" si="15"/>
        <v>0.4458340956509569</v>
      </c>
      <c r="R16" s="54">
        <f t="shared" si="16"/>
        <v>6</v>
      </c>
      <c r="S16" s="55">
        <f t="shared" si="17"/>
        <v>6.267371795749882</v>
      </c>
      <c r="T16" s="51">
        <f t="shared" si="18"/>
        <v>3.449393819995204</v>
      </c>
      <c r="U16" s="51">
        <f t="shared" si="19"/>
        <v>4.317977975754678</v>
      </c>
      <c r="V16" s="56">
        <f t="shared" si="20"/>
        <v>-0.2673717957498818</v>
      </c>
      <c r="W16" s="57">
        <f t="shared" si="21"/>
        <v>-13.395227915646162</v>
      </c>
      <c r="X16" s="58">
        <f t="shared" si="25"/>
        <v>-0.15865120383488573</v>
      </c>
      <c r="Y16" s="51">
        <f t="shared" si="22"/>
        <v>1.0993211590790997</v>
      </c>
      <c r="Z16" s="51">
        <f t="shared" si="23"/>
        <v>1.0993211590790997</v>
      </c>
      <c r="AA16" s="49"/>
      <c r="AB16" s="49"/>
      <c r="AC16" s="49"/>
      <c r="AD16" s="49"/>
      <c r="AE16" s="49"/>
    </row>
    <row r="17" spans="1:26" s="59" customFormat="1" ht="15" customHeight="1">
      <c r="A17" s="48">
        <f t="shared" si="24"/>
        <v>0.53</v>
      </c>
      <c r="B17" s="51">
        <f t="shared" si="0"/>
        <v>-123.18887999377392</v>
      </c>
      <c r="C17" s="69">
        <f t="shared" si="1"/>
        <v>0.06545</v>
      </c>
      <c r="D17" s="50">
        <f t="shared" si="2"/>
        <v>3369.57589887767</v>
      </c>
      <c r="E17" s="50">
        <f t="shared" si="3"/>
        <v>754.7169811320755</v>
      </c>
      <c r="F17" s="51">
        <f t="shared" si="4"/>
        <v>0.7619452970952437</v>
      </c>
      <c r="G17" s="48">
        <f t="shared" si="5"/>
        <v>0.8384871112697913</v>
      </c>
      <c r="H17" s="52">
        <f t="shared" si="6"/>
        <v>3.51182288659112</v>
      </c>
      <c r="I17" s="51">
        <f t="shared" si="7"/>
        <v>1.9868821626874194</v>
      </c>
      <c r="J17" s="49">
        <f t="shared" si="8"/>
        <v>-0.24202679718443446</v>
      </c>
      <c r="K17" s="51">
        <f t="shared" si="9"/>
        <v>0.03218430668362893</v>
      </c>
      <c r="L17" s="51">
        <f t="shared" si="10"/>
        <v>0.11434091236861456</v>
      </c>
      <c r="M17" s="51">
        <f t="shared" si="11"/>
        <v>0.000628213891510011</v>
      </c>
      <c r="N17" s="51">
        <f t="shared" si="12"/>
        <v>0.06862484315824287</v>
      </c>
      <c r="O17" s="51">
        <f t="shared" si="13"/>
        <v>0</v>
      </c>
      <c r="P17" s="51">
        <f t="shared" si="14"/>
        <v>0.3</v>
      </c>
      <c r="Q17" s="53">
        <f t="shared" si="15"/>
        <v>0.4458340956509569</v>
      </c>
      <c r="R17" s="54">
        <f t="shared" si="16"/>
        <v>6</v>
      </c>
      <c r="S17" s="55">
        <f t="shared" si="17"/>
        <v>6.427504900456354</v>
      </c>
      <c r="T17" s="51">
        <f t="shared" si="18"/>
        <v>3.4868821626874196</v>
      </c>
      <c r="U17" s="51">
        <f t="shared" si="19"/>
        <v>4.440622737768934</v>
      </c>
      <c r="V17" s="56">
        <f t="shared" si="20"/>
        <v>-0.4275049004563538</v>
      </c>
      <c r="W17" s="57">
        <f t="shared" si="21"/>
        <v>-13.432716258338376</v>
      </c>
      <c r="X17" s="58">
        <f t="shared" si="25"/>
        <v>-0.16164079417995625</v>
      </c>
      <c r="Y17" s="51">
        <f t="shared" si="22"/>
        <v>1.0993211590790997</v>
      </c>
      <c r="Z17" s="51">
        <f t="shared" si="23"/>
        <v>1.0993211590790997</v>
      </c>
    </row>
    <row r="18" spans="1:26" s="59" customFormat="1" ht="15" customHeight="1">
      <c r="A18" s="48">
        <f t="shared" si="24"/>
        <v>0.54</v>
      </c>
      <c r="B18" s="51">
        <f t="shared" si="0"/>
        <v>-123.18887999377392</v>
      </c>
      <c r="C18" s="69">
        <f t="shared" si="1"/>
        <v>0.06545</v>
      </c>
      <c r="D18" s="50">
        <f t="shared" si="2"/>
        <v>3307.1763451947504</v>
      </c>
      <c r="E18" s="50">
        <f t="shared" si="3"/>
        <v>740.7407407407406</v>
      </c>
      <c r="F18" s="51">
        <f t="shared" si="4"/>
        <v>0.7724905230721153</v>
      </c>
      <c r="G18" s="48">
        <f t="shared" si="5"/>
        <v>0.8480811330505061</v>
      </c>
      <c r="H18" s="52">
        <f t="shared" si="6"/>
        <v>3.6294180851854385</v>
      </c>
      <c r="I18" s="51">
        <f t="shared" si="7"/>
        <v>2.024370505379635</v>
      </c>
      <c r="J18" s="49">
        <f t="shared" si="8"/>
        <v>-0.24659334052753698</v>
      </c>
      <c r="K18" s="51">
        <f t="shared" si="9"/>
        <v>0.03337338332646166</v>
      </c>
      <c r="L18" s="51">
        <f t="shared" si="10"/>
        <v>0.12319443582770402</v>
      </c>
      <c r="M18" s="51">
        <f t="shared" si="11"/>
        <v>0.0006211071448519224</v>
      </c>
      <c r="N18" s="51">
        <f t="shared" si="12"/>
        <v>0.06783626206605979</v>
      </c>
      <c r="O18" s="51">
        <f t="shared" si="13"/>
        <v>0</v>
      </c>
      <c r="P18" s="51">
        <f t="shared" si="14"/>
        <v>0.3</v>
      </c>
      <c r="Q18" s="53">
        <f t="shared" si="15"/>
        <v>0.4458340956509569</v>
      </c>
      <c r="R18" s="54">
        <f t="shared" si="16"/>
        <v>6</v>
      </c>
      <c r="S18" s="55">
        <f t="shared" si="17"/>
        <v>6.590653384109794</v>
      </c>
      <c r="T18" s="51">
        <f t="shared" si="18"/>
        <v>3.524370505379635</v>
      </c>
      <c r="U18" s="51">
        <f t="shared" si="19"/>
        <v>4.56628287873016</v>
      </c>
      <c r="V18" s="56">
        <f t="shared" si="20"/>
        <v>-0.5906533841097943</v>
      </c>
      <c r="W18" s="57">
        <f t="shared" si="21"/>
        <v>-13.470204601030591</v>
      </c>
      <c r="X18" s="58">
        <f t="shared" si="25"/>
        <v>-0.16468481021131698</v>
      </c>
      <c r="Y18" s="51">
        <f t="shared" si="22"/>
        <v>1.0993211590790997</v>
      </c>
      <c r="Z18" s="51">
        <f t="shared" si="23"/>
        <v>1.0993211590790997</v>
      </c>
    </row>
    <row r="19" spans="1:26" s="47" customFormat="1" ht="15" customHeight="1">
      <c r="A19" s="37">
        <f t="shared" si="24"/>
        <v>0.55</v>
      </c>
      <c r="B19" s="40">
        <f t="shared" si="0"/>
        <v>-123.18887999377392</v>
      </c>
      <c r="C19" s="68">
        <f t="shared" si="1"/>
        <v>0.06545</v>
      </c>
      <c r="D19" s="39">
        <f t="shared" si="2"/>
        <v>3247.0458661912094</v>
      </c>
      <c r="E19" s="39">
        <f t="shared" si="3"/>
        <v>727.2727272727273</v>
      </c>
      <c r="F19" s="40">
        <f t="shared" si="4"/>
        <v>0.7830868590331886</v>
      </c>
      <c r="G19" s="37">
        <f t="shared" si="5"/>
        <v>0.8577441511257684</v>
      </c>
      <c r="H19" s="41">
        <f t="shared" si="6"/>
        <v>3.7495599719037576</v>
      </c>
      <c r="I19" s="40">
        <f t="shared" si="7"/>
        <v>2.0618588480718505</v>
      </c>
      <c r="J19" s="38">
        <f t="shared" si="8"/>
        <v>-0.25115988387063953</v>
      </c>
      <c r="K19" s="40">
        <f t="shared" si="9"/>
        <v>0.03458196073532232</v>
      </c>
      <c r="L19" s="40">
        <f t="shared" si="10"/>
        <v>0.132561484149875</v>
      </c>
      <c r="M19" s="40">
        <f t="shared" si="11"/>
        <v>0.0006141099889290268</v>
      </c>
      <c r="N19" s="40">
        <f t="shared" si="12"/>
        <v>0.06706012110254839</v>
      </c>
      <c r="O19" s="40">
        <f t="shared" si="13"/>
        <v>0</v>
      </c>
      <c r="P19" s="40">
        <f t="shared" si="14"/>
        <v>0.3</v>
      </c>
      <c r="Q19" s="42">
        <f t="shared" si="15"/>
        <v>0.4458340956509569</v>
      </c>
      <c r="R19" s="43">
        <f t="shared" si="16"/>
        <v>6</v>
      </c>
      <c r="S19" s="44">
        <f t="shared" si="17"/>
        <v>6.756874520878988</v>
      </c>
      <c r="T19" s="40">
        <f t="shared" si="18"/>
        <v>3.5618588480718505</v>
      </c>
      <c r="U19" s="40">
        <f t="shared" si="19"/>
        <v>4.695015672807138</v>
      </c>
      <c r="V19" s="45">
        <f t="shared" si="20"/>
        <v>-0.7568745208789878</v>
      </c>
      <c r="W19" s="46">
        <f t="shared" si="21"/>
        <v>-13.507692943722807</v>
      </c>
      <c r="X19" s="60">
        <f t="shared" si="25"/>
        <v>-0.16778917975200303</v>
      </c>
      <c r="Y19" s="40">
        <f t="shared" si="22"/>
        <v>1.0993211590790997</v>
      </c>
      <c r="Z19" s="40">
        <f t="shared" si="23"/>
        <v>1.0993211590790997</v>
      </c>
    </row>
    <row r="20" spans="1:26" s="59" customFormat="1" ht="15" customHeight="1">
      <c r="A20" s="48">
        <f t="shared" si="24"/>
        <v>0.56</v>
      </c>
      <c r="B20" s="51">
        <f t="shared" si="0"/>
        <v>-123.18887999377392</v>
      </c>
      <c r="C20" s="69">
        <f t="shared" si="1"/>
        <v>0.06545</v>
      </c>
      <c r="D20" s="50">
        <f t="shared" si="2"/>
        <v>3189.062904294938</v>
      </c>
      <c r="E20" s="50">
        <f t="shared" si="3"/>
        <v>714.2857142857142</v>
      </c>
      <c r="F20" s="51">
        <f t="shared" si="4"/>
        <v>0.7937322580242433</v>
      </c>
      <c r="G20" s="48">
        <f t="shared" si="5"/>
        <v>0.8674738597953623</v>
      </c>
      <c r="H20" s="52">
        <f t="shared" si="6"/>
        <v>3.872290476193058</v>
      </c>
      <c r="I20" s="51">
        <f t="shared" si="7"/>
        <v>2.0993471907640657</v>
      </c>
      <c r="J20" s="49">
        <f t="shared" si="8"/>
        <v>-0.25572642721374206</v>
      </c>
      <c r="K20" s="51">
        <f t="shared" si="9"/>
        <v>0.03580989394022591</v>
      </c>
      <c r="L20" s="51">
        <f t="shared" si="10"/>
        <v>0.14246361595676404</v>
      </c>
      <c r="M20" s="51">
        <f t="shared" si="11"/>
        <v>0.0006072220450262833</v>
      </c>
      <c r="N20" s="51">
        <f t="shared" si="12"/>
        <v>0.06629636504895631</v>
      </c>
      <c r="O20" s="51">
        <f t="shared" si="13"/>
        <v>0</v>
      </c>
      <c r="P20" s="51">
        <f t="shared" si="14"/>
        <v>0.3</v>
      </c>
      <c r="Q20" s="53">
        <f t="shared" si="15"/>
        <v>0.4458340956509569</v>
      </c>
      <c r="R20" s="54">
        <f t="shared" si="16"/>
        <v>6</v>
      </c>
      <c r="S20" s="55">
        <f t="shared" si="17"/>
        <v>6.9262317436138</v>
      </c>
      <c r="T20" s="51">
        <f t="shared" si="18"/>
        <v>3.5993471907640657</v>
      </c>
      <c r="U20" s="51">
        <f t="shared" si="19"/>
        <v>4.826884552849735</v>
      </c>
      <c r="V20" s="56">
        <f t="shared" si="20"/>
        <v>-0.9262317436138003</v>
      </c>
      <c r="W20" s="57">
        <f t="shared" si="21"/>
        <v>-13.545181286415023</v>
      </c>
      <c r="X20" s="58">
        <f t="shared" si="25"/>
        <v>-0.17096030967091425</v>
      </c>
      <c r="Y20" s="51">
        <f t="shared" si="22"/>
        <v>1.0993211590790997</v>
      </c>
      <c r="Z20" s="51">
        <f t="shared" si="23"/>
        <v>1.0993211590790997</v>
      </c>
    </row>
    <row r="21" spans="1:26" s="59" customFormat="1" ht="15" customHeight="1">
      <c r="A21" s="48">
        <f t="shared" si="24"/>
        <v>0.5700000000000001</v>
      </c>
      <c r="B21" s="51">
        <f t="shared" si="0"/>
        <v>-123.18887999377392</v>
      </c>
      <c r="C21" s="69">
        <f t="shared" si="1"/>
        <v>0.06545</v>
      </c>
      <c r="D21" s="50">
        <f t="shared" si="2"/>
        <v>3133.1144322897635</v>
      </c>
      <c r="E21" s="50">
        <f t="shared" si="3"/>
        <v>701.7543859649122</v>
      </c>
      <c r="F21" s="51">
        <f t="shared" si="4"/>
        <v>0.8044247722128072</v>
      </c>
      <c r="G21" s="48">
        <f t="shared" si="5"/>
        <v>0.8772680400821784</v>
      </c>
      <c r="H21" s="52">
        <f t="shared" si="6"/>
        <v>3.997657399587759</v>
      </c>
      <c r="I21" s="51">
        <f t="shared" si="7"/>
        <v>2.1368355334562814</v>
      </c>
      <c r="J21" s="49">
        <f t="shared" si="8"/>
        <v>-0.2602929705568446</v>
      </c>
      <c r="K21" s="51">
        <f t="shared" si="9"/>
        <v>0.037057035884383326</v>
      </c>
      <c r="L21" s="51">
        <f t="shared" si="10"/>
        <v>0.1529231908910087</v>
      </c>
      <c r="M21" s="51">
        <f t="shared" si="11"/>
        <v>0.0006004427690109853</v>
      </c>
      <c r="N21" s="51">
        <f t="shared" si="12"/>
        <v>0.06554492063481059</v>
      </c>
      <c r="O21" s="51">
        <f t="shared" si="13"/>
        <v>0</v>
      </c>
      <c r="P21" s="51">
        <f t="shared" si="14"/>
        <v>0.3</v>
      </c>
      <c r="Q21" s="53">
        <f t="shared" si="15"/>
        <v>0.4458340956509569</v>
      </c>
      <c r="R21" s="54">
        <f t="shared" si="16"/>
        <v>6</v>
      </c>
      <c r="S21" s="55">
        <f t="shared" si="17"/>
        <v>7.098795140220816</v>
      </c>
      <c r="T21" s="51">
        <f t="shared" si="18"/>
        <v>3.6368355334562814</v>
      </c>
      <c r="U21" s="51">
        <f t="shared" si="19"/>
        <v>4.961959606764535</v>
      </c>
      <c r="V21" s="56">
        <f t="shared" si="20"/>
        <v>-1.0987951402208163</v>
      </c>
      <c r="W21" s="57">
        <f t="shared" si="21"/>
        <v>-13.582669629107238</v>
      </c>
      <c r="X21" s="58">
        <f t="shared" si="25"/>
        <v>-0.17420512364103002</v>
      </c>
      <c r="Y21" s="51">
        <f t="shared" si="22"/>
        <v>1.0993211590790997</v>
      </c>
      <c r="Z21" s="51">
        <f t="shared" si="23"/>
        <v>1.0993211590790997</v>
      </c>
    </row>
    <row r="22" spans="1:26" s="59" customFormat="1" ht="15" customHeight="1">
      <c r="A22" s="48">
        <f t="shared" si="24"/>
        <v>0.5800000000000001</v>
      </c>
      <c r="B22" s="51">
        <f t="shared" si="0"/>
        <v>-123.18887999377392</v>
      </c>
      <c r="C22" s="69">
        <f t="shared" si="1"/>
        <v>0.06545</v>
      </c>
      <c r="D22" s="50">
        <f t="shared" si="2"/>
        <v>3079.09521793994</v>
      </c>
      <c r="E22" s="50">
        <f t="shared" si="3"/>
        <v>689.655172413793</v>
      </c>
      <c r="F22" s="51">
        <f t="shared" si="4"/>
        <v>0.8151625475661609</v>
      </c>
      <c r="G22" s="48">
        <f t="shared" si="5"/>
        <v>0.887124556617927</v>
      </c>
      <c r="H22" s="52">
        <f t="shared" si="6"/>
        <v>4.125714898529303</v>
      </c>
      <c r="I22" s="51">
        <f t="shared" si="7"/>
        <v>2.174323876148497</v>
      </c>
      <c r="J22" s="49">
        <f t="shared" si="8"/>
        <v>-0.26485951389994716</v>
      </c>
      <c r="K22" s="51">
        <f t="shared" si="9"/>
        <v>0.03832323745352994</v>
      </c>
      <c r="L22" s="51">
        <f t="shared" si="10"/>
        <v>0.16396342204600814</v>
      </c>
      <c r="M22" s="51">
        <f t="shared" si="11"/>
        <v>0.0005937714689805925</v>
      </c>
      <c r="N22" s="51">
        <f t="shared" si="12"/>
        <v>0.06480569852109612</v>
      </c>
      <c r="O22" s="51">
        <f t="shared" si="13"/>
        <v>0</v>
      </c>
      <c r="P22" s="51">
        <f t="shared" si="14"/>
        <v>0.3</v>
      </c>
      <c r="Q22" s="53">
        <f t="shared" si="15"/>
        <v>0.4458340956509569</v>
      </c>
      <c r="R22" s="54">
        <f t="shared" si="16"/>
        <v>6</v>
      </c>
      <c r="S22" s="55">
        <f t="shared" si="17"/>
        <v>7.27464199089586</v>
      </c>
      <c r="T22" s="51">
        <f t="shared" si="18"/>
        <v>3.674323876148497</v>
      </c>
      <c r="U22" s="51">
        <f t="shared" si="19"/>
        <v>5.100318114747363</v>
      </c>
      <c r="V22" s="56">
        <f t="shared" si="20"/>
        <v>-1.2746419908958604</v>
      </c>
      <c r="W22" s="57">
        <f t="shared" si="21"/>
        <v>-13.620157971799454</v>
      </c>
      <c r="X22" s="58">
        <f t="shared" si="25"/>
        <v>-0.1775311065297256</v>
      </c>
      <c r="Y22" s="51">
        <f t="shared" si="22"/>
        <v>1.0993211590790997</v>
      </c>
      <c r="Z22" s="51">
        <f t="shared" si="23"/>
        <v>1.0993211590790997</v>
      </c>
    </row>
    <row r="23" spans="1:26" s="59" customFormat="1" ht="15" customHeight="1">
      <c r="A23" s="48">
        <f t="shared" si="24"/>
        <v>0.5900000000000001</v>
      </c>
      <c r="B23" s="51">
        <f t="shared" si="0"/>
        <v>-123.18887999377392</v>
      </c>
      <c r="C23" s="69">
        <f t="shared" si="1"/>
        <v>0.06545</v>
      </c>
      <c r="D23" s="50">
        <f t="shared" si="2"/>
        <v>3026.907163398585</v>
      </c>
      <c r="E23" s="50">
        <f t="shared" si="3"/>
        <v>677.9661016949152</v>
      </c>
      <c r="F23" s="51">
        <f t="shared" si="4"/>
        <v>0.8259438188176266</v>
      </c>
      <c r="G23" s="48">
        <f t="shared" si="5"/>
        <v>0.8970413545890983</v>
      </c>
      <c r="H23" s="52">
        <f t="shared" si="6"/>
        <v>4.256524010366013</v>
      </c>
      <c r="I23" s="51">
        <f t="shared" si="7"/>
        <v>2.2118122188407123</v>
      </c>
      <c r="J23" s="49">
        <f t="shared" si="8"/>
        <v>-0.2694260572430497</v>
      </c>
      <c r="K23" s="51">
        <f t="shared" si="9"/>
        <v>0.0396083475056143</v>
      </c>
      <c r="L23" s="51">
        <f t="shared" si="10"/>
        <v>0.17560843329483278</v>
      </c>
      <c r="M23" s="51">
        <f t="shared" si="11"/>
        <v>0.0005872073215543867</v>
      </c>
      <c r="N23" s="51">
        <f t="shared" si="12"/>
        <v>0.06407859512775303</v>
      </c>
      <c r="O23" s="51">
        <f t="shared" si="13"/>
        <v>0</v>
      </c>
      <c r="P23" s="51">
        <f t="shared" si="14"/>
        <v>0.3</v>
      </c>
      <c r="Q23" s="53">
        <f t="shared" si="15"/>
        <v>0.4458340956509569</v>
      </c>
      <c r="R23" s="54">
        <f t="shared" si="16"/>
        <v>6</v>
      </c>
      <c r="S23" s="55">
        <f t="shared" si="17"/>
        <v>7.453857353280267</v>
      </c>
      <c r="T23" s="51">
        <f t="shared" si="18"/>
        <v>3.7118122188407123</v>
      </c>
      <c r="U23" s="51">
        <f t="shared" si="19"/>
        <v>5.2420451344395556</v>
      </c>
      <c r="V23" s="56">
        <f t="shared" si="20"/>
        <v>-1.4538573532802674</v>
      </c>
      <c r="W23" s="57">
        <f t="shared" si="21"/>
        <v>-13.65764631449167</v>
      </c>
      <c r="X23" s="58">
        <f t="shared" si="25"/>
        <v>-0.18094635636625034</v>
      </c>
      <c r="Y23" s="51">
        <f t="shared" si="22"/>
        <v>1.0993211590790997</v>
      </c>
      <c r="Z23" s="51">
        <f t="shared" si="23"/>
        <v>1.0993211590790997</v>
      </c>
    </row>
    <row r="24" spans="1:26" s="47" customFormat="1" ht="15" customHeight="1">
      <c r="A24" s="37">
        <f t="shared" si="24"/>
        <v>0.6000000000000001</v>
      </c>
      <c r="B24" s="40">
        <f t="shared" si="0"/>
        <v>-123.18887999377392</v>
      </c>
      <c r="C24" s="68">
        <f t="shared" si="1"/>
        <v>0.06545</v>
      </c>
      <c r="D24" s="39">
        <f t="shared" si="2"/>
        <v>2976.458710675275</v>
      </c>
      <c r="E24" s="39">
        <f t="shared" si="3"/>
        <v>666.6666666666665</v>
      </c>
      <c r="F24" s="40">
        <f t="shared" si="4"/>
        <v>0.8367669047082941</v>
      </c>
      <c r="G24" s="37">
        <f t="shared" si="5"/>
        <v>0.9070164567498757</v>
      </c>
      <c r="H24" s="41">
        <f t="shared" si="6"/>
        <v>4.390153230131642</v>
      </c>
      <c r="I24" s="40">
        <f t="shared" si="7"/>
        <v>2.249300561532928</v>
      </c>
      <c r="J24" s="38">
        <f t="shared" si="8"/>
        <v>-0.27399260058615227</v>
      </c>
      <c r="K24" s="40">
        <f t="shared" si="9"/>
        <v>0.04091221290083845</v>
      </c>
      <c r="L24" s="40">
        <f t="shared" si="10"/>
        <v>0.18788332199831267</v>
      </c>
      <c r="M24" s="40">
        <f t="shared" si="11"/>
        <v>0.0005807493868846557</v>
      </c>
      <c r="N24" s="40">
        <f t="shared" si="12"/>
        <v>0.06336349431452183</v>
      </c>
      <c r="O24" s="40">
        <f t="shared" si="13"/>
        <v>0</v>
      </c>
      <c r="P24" s="40">
        <f t="shared" si="14"/>
        <v>0.3</v>
      </c>
      <c r="Q24" s="42">
        <f t="shared" si="15"/>
        <v>0.4458340956509569</v>
      </c>
      <c r="R24" s="43">
        <f t="shared" si="16"/>
        <v>6</v>
      </c>
      <c r="S24" s="44">
        <f t="shared" si="17"/>
        <v>7.636534703628361</v>
      </c>
      <c r="T24" s="40">
        <f t="shared" si="18"/>
        <v>3.749300561532928</v>
      </c>
      <c r="U24" s="40">
        <f t="shared" si="19"/>
        <v>5.3872341420954335</v>
      </c>
      <c r="V24" s="45">
        <f t="shared" si="20"/>
        <v>-1.636534703628361</v>
      </c>
      <c r="W24" s="46">
        <f t="shared" si="21"/>
        <v>-13.695134657183885</v>
      </c>
      <c r="X24" s="60">
        <f t="shared" si="25"/>
        <v>-0.18445964499976242</v>
      </c>
      <c r="Y24" s="40">
        <f t="shared" si="22"/>
        <v>1.0993211590790997</v>
      </c>
      <c r="Z24" s="40">
        <f t="shared" si="23"/>
        <v>1.0993211590790997</v>
      </c>
    </row>
    <row r="25" spans="1:26" s="59" customFormat="1" ht="15" customHeight="1">
      <c r="A25" s="48">
        <f t="shared" si="24"/>
        <v>0.6100000000000001</v>
      </c>
      <c r="B25" s="51">
        <f t="shared" si="0"/>
        <v>-123.18887999377392</v>
      </c>
      <c r="C25" s="69">
        <f t="shared" si="1"/>
        <v>0.06545</v>
      </c>
      <c r="D25" s="50">
        <f t="shared" si="2"/>
        <v>2927.664305582238</v>
      </c>
      <c r="E25" s="50">
        <f t="shared" si="3"/>
        <v>655.7377049180327</v>
      </c>
      <c r="F25" s="51">
        <f t="shared" si="4"/>
        <v>0.8476302034913089</v>
      </c>
      <c r="G25" s="48">
        <f t="shared" si="5"/>
        <v>0.917047960507365</v>
      </c>
      <c r="H25" s="52">
        <f t="shared" si="6"/>
        <v>4.52667914684861</v>
      </c>
      <c r="I25" s="51">
        <f t="shared" si="7"/>
        <v>2.2867889042251432</v>
      </c>
      <c r="J25" s="49">
        <f t="shared" si="8"/>
        <v>-0.2785591439292548</v>
      </c>
      <c r="K25" s="51">
        <f t="shared" si="9"/>
        <v>0.042234678532042116</v>
      </c>
      <c r="L25" s="51">
        <f t="shared" si="10"/>
        <v>0.20081422763109316</v>
      </c>
      <c r="M25" s="51">
        <f t="shared" si="11"/>
        <v>0.0005743966224627494</v>
      </c>
      <c r="N25" s="51">
        <f t="shared" si="12"/>
        <v>0.06266026892398872</v>
      </c>
      <c r="O25" s="51">
        <f t="shared" si="13"/>
        <v>0</v>
      </c>
      <c r="P25" s="51">
        <f t="shared" si="14"/>
        <v>0.3</v>
      </c>
      <c r="Q25" s="53">
        <f t="shared" si="15"/>
        <v>0.4458340956509569</v>
      </c>
      <c r="R25" s="54">
        <f t="shared" si="16"/>
        <v>6</v>
      </c>
      <c r="S25" s="55">
        <f t="shared" si="17"/>
        <v>7.822776643279792</v>
      </c>
      <c r="T25" s="51">
        <f t="shared" si="18"/>
        <v>3.7867889042251432</v>
      </c>
      <c r="U25" s="51">
        <f t="shared" si="19"/>
        <v>5.535987739054649</v>
      </c>
      <c r="V25" s="56">
        <f t="shared" si="20"/>
        <v>-1.8227766432797923</v>
      </c>
      <c r="W25" s="57">
        <f t="shared" si="21"/>
        <v>-13.732622999876101</v>
      </c>
      <c r="X25" s="58">
        <f t="shared" si="25"/>
        <v>-0.18808048876882522</v>
      </c>
      <c r="Y25" s="51">
        <f t="shared" si="22"/>
        <v>1.0993211590790997</v>
      </c>
      <c r="Z25" s="51">
        <f t="shared" si="23"/>
        <v>1.0993211590790997</v>
      </c>
    </row>
    <row r="26" spans="1:26" s="59" customFormat="1" ht="15" customHeight="1">
      <c r="A26" s="48">
        <f t="shared" si="24"/>
        <v>0.6200000000000001</v>
      </c>
      <c r="B26" s="51">
        <f t="shared" si="0"/>
        <v>-123.18887999377392</v>
      </c>
      <c r="C26" s="69">
        <f t="shared" si="1"/>
        <v>0.06545</v>
      </c>
      <c r="D26" s="50">
        <f t="shared" si="2"/>
        <v>2880.443913556718</v>
      </c>
      <c r="E26" s="50">
        <f t="shared" si="3"/>
        <v>645.1612903225805</v>
      </c>
      <c r="F26" s="51">
        <f t="shared" si="4"/>
        <v>0.8585321886859575</v>
      </c>
      <c r="G26" s="48">
        <f t="shared" si="5"/>
        <v>0.9271340350833316</v>
      </c>
      <c r="H26" s="52">
        <f t="shared" si="6"/>
        <v>4.666187149470441</v>
      </c>
      <c r="I26" s="51">
        <f t="shared" si="7"/>
        <v>2.324277246917359</v>
      </c>
      <c r="J26" s="49">
        <f t="shared" si="8"/>
        <v>-0.2831256872723573</v>
      </c>
      <c r="K26" s="51">
        <f t="shared" si="9"/>
        <v>0.04357558735542197</v>
      </c>
      <c r="L26" s="51">
        <f t="shared" si="10"/>
        <v>0.21442840693164827</v>
      </c>
      <c r="M26" s="51">
        <f t="shared" si="11"/>
        <v>0.0005681478957942027</v>
      </c>
      <c r="N26" s="51">
        <f t="shared" si="12"/>
        <v>0.06196878219560623</v>
      </c>
      <c r="O26" s="51">
        <f t="shared" si="13"/>
        <v>0</v>
      </c>
      <c r="P26" s="51">
        <f t="shared" si="14"/>
        <v>0.3</v>
      </c>
      <c r="Q26" s="53">
        <f t="shared" si="15"/>
        <v>0.4458340956509569</v>
      </c>
      <c r="R26" s="54">
        <f t="shared" si="16"/>
        <v>6</v>
      </c>
      <c r="S26" s="55">
        <f t="shared" si="17"/>
        <v>8.012695681166011</v>
      </c>
      <c r="T26" s="51">
        <f t="shared" si="18"/>
        <v>3.824277246917359</v>
      </c>
      <c r="U26" s="51">
        <f t="shared" si="19"/>
        <v>5.688418434248653</v>
      </c>
      <c r="V26" s="56">
        <f t="shared" si="20"/>
        <v>-2.0126956811660115</v>
      </c>
      <c r="W26" s="57">
        <f t="shared" si="21"/>
        <v>-13.770111342568315</v>
      </c>
      <c r="X26" s="58">
        <f t="shared" si="25"/>
        <v>-0.19181923075883178</v>
      </c>
      <c r="Y26" s="51">
        <f t="shared" si="22"/>
        <v>1.0993211590790997</v>
      </c>
      <c r="Z26" s="51">
        <f t="shared" si="23"/>
        <v>1.0993211590790997</v>
      </c>
    </row>
    <row r="27" spans="1:26" s="59" customFormat="1" ht="15" customHeight="1">
      <c r="A27" s="48">
        <f t="shared" si="24"/>
        <v>0.6300000000000001</v>
      </c>
      <c r="B27" s="51">
        <f t="shared" si="0"/>
        <v>-123.18887999377392</v>
      </c>
      <c r="C27" s="69">
        <f t="shared" si="1"/>
        <v>0.06545</v>
      </c>
      <c r="D27" s="50">
        <f t="shared" si="2"/>
        <v>2834.7225815955</v>
      </c>
      <c r="E27" s="50">
        <f t="shared" si="3"/>
        <v>634.9206349206348</v>
      </c>
      <c r="F27" s="51">
        <f t="shared" si="4"/>
        <v>0.8694714050689918</v>
      </c>
      <c r="G27" s="48">
        <f t="shared" si="5"/>
        <v>0.9372729187556028</v>
      </c>
      <c r="H27" s="52">
        <f t="shared" si="6"/>
        <v>4.808772214218505</v>
      </c>
      <c r="I27" s="51">
        <f t="shared" si="7"/>
        <v>2.361765589609574</v>
      </c>
      <c r="J27" s="49">
        <f t="shared" si="8"/>
        <v>-0.28769223061545984</v>
      </c>
      <c r="K27" s="51">
        <f t="shared" si="9"/>
        <v>0.044934780421576725</v>
      </c>
      <c r="L27" s="51">
        <f t="shared" si="10"/>
        <v>0.2287543162592774</v>
      </c>
      <c r="M27" s="51">
        <f t="shared" si="11"/>
        <v>0.0005620019960153515</v>
      </c>
      <c r="N27" s="51">
        <f t="shared" si="12"/>
        <v>0.061288889059143065</v>
      </c>
      <c r="O27" s="51">
        <f t="shared" si="13"/>
        <v>0</v>
      </c>
      <c r="P27" s="51">
        <f t="shared" si="14"/>
        <v>0.3</v>
      </c>
      <c r="Q27" s="53">
        <f t="shared" si="15"/>
        <v>0.4458340956509569</v>
      </c>
      <c r="R27" s="54">
        <f t="shared" si="16"/>
        <v>6</v>
      </c>
      <c r="S27" s="55">
        <f t="shared" si="17"/>
        <v>8.206415104797456</v>
      </c>
      <c r="T27" s="51">
        <f t="shared" si="18"/>
        <v>3.861765589609574</v>
      </c>
      <c r="U27" s="51">
        <f t="shared" si="19"/>
        <v>5.844649515187882</v>
      </c>
      <c r="V27" s="56">
        <f t="shared" si="20"/>
        <v>-2.206415104797456</v>
      </c>
      <c r="W27" s="57">
        <f t="shared" si="21"/>
        <v>-13.80759968526053</v>
      </c>
      <c r="X27" s="58">
        <f t="shared" si="25"/>
        <v>-0.19568713653889525</v>
      </c>
      <c r="Y27" s="51">
        <f t="shared" si="22"/>
        <v>1.0993211590790997</v>
      </c>
      <c r="Z27" s="51">
        <f t="shared" si="23"/>
        <v>1.0993211590790997</v>
      </c>
    </row>
    <row r="28" spans="1:26" s="59" customFormat="1" ht="15" customHeight="1">
      <c r="A28" s="48">
        <f t="shared" si="24"/>
        <v>0.6400000000000001</v>
      </c>
      <c r="B28" s="51">
        <f t="shared" si="0"/>
        <v>-123.18887999377392</v>
      </c>
      <c r="C28" s="69">
        <f t="shared" si="1"/>
        <v>0.06545</v>
      </c>
      <c r="D28" s="50">
        <f t="shared" si="2"/>
        <v>2790.4300412580706</v>
      </c>
      <c r="E28" s="50">
        <f t="shared" si="3"/>
        <v>624.9999999999999</v>
      </c>
      <c r="F28" s="51">
        <f t="shared" si="4"/>
        <v>0.8804464648909422</v>
      </c>
      <c r="G28" s="48">
        <f t="shared" si="5"/>
        <v>0.9474629161813971</v>
      </c>
      <c r="H28" s="52">
        <f t="shared" si="6"/>
        <v>4.9545397870457375</v>
      </c>
      <c r="I28" s="51">
        <f t="shared" si="7"/>
        <v>2.39925393230179</v>
      </c>
      <c r="J28" s="49">
        <f t="shared" si="8"/>
        <v>-0.29225877395856237</v>
      </c>
      <c r="K28" s="51">
        <f t="shared" si="9"/>
        <v>0.04631209690687131</v>
      </c>
      <c r="L28" s="51">
        <f t="shared" si="10"/>
        <v>0.24382170192954325</v>
      </c>
      <c r="M28" s="51">
        <f t="shared" si="11"/>
        <v>0.000555957644521608</v>
      </c>
      <c r="N28" s="51">
        <f t="shared" si="12"/>
        <v>0.0606204373157749</v>
      </c>
      <c r="O28" s="51">
        <f t="shared" si="13"/>
        <v>0</v>
      </c>
      <c r="P28" s="51">
        <f t="shared" si="14"/>
        <v>0.3</v>
      </c>
      <c r="Q28" s="53">
        <f t="shared" si="15"/>
        <v>0.4458340956509569</v>
      </c>
      <c r="R28" s="54">
        <f t="shared" si="16"/>
        <v>6</v>
      </c>
      <c r="S28" s="55">
        <f t="shared" si="17"/>
        <v>8.404069954243802</v>
      </c>
      <c r="T28" s="51">
        <f t="shared" si="18"/>
        <v>3.89925393230179</v>
      </c>
      <c r="U28" s="51">
        <f t="shared" si="19"/>
        <v>6.004816021942013</v>
      </c>
      <c r="V28" s="56">
        <f t="shared" si="20"/>
        <v>-2.404069954243802</v>
      </c>
      <c r="W28" s="57">
        <f t="shared" si="21"/>
        <v>-13.845088027952746</v>
      </c>
      <c r="X28" s="58">
        <f t="shared" si="25"/>
        <v>-0.19969650565950925</v>
      </c>
      <c r="Y28" s="51">
        <f t="shared" si="22"/>
        <v>1.0993211590790997</v>
      </c>
      <c r="Z28" s="51">
        <f t="shared" si="23"/>
        <v>1.0993211590790997</v>
      </c>
    </row>
    <row r="29" spans="1:26" s="47" customFormat="1" ht="15" customHeight="1">
      <c r="A29" s="37">
        <f t="shared" si="24"/>
        <v>0.6500000000000001</v>
      </c>
      <c r="B29" s="40">
        <f t="shared" si="0"/>
        <v>-123.18887999377392</v>
      </c>
      <c r="C29" s="68">
        <f t="shared" si="1"/>
        <v>0.06545</v>
      </c>
      <c r="D29" s="39">
        <f t="shared" si="2"/>
        <v>2747.500348315639</v>
      </c>
      <c r="E29" s="39">
        <f t="shared" si="3"/>
        <v>615.3846153846152</v>
      </c>
      <c r="F29" s="40">
        <f t="shared" si="4"/>
        <v>0.8914560443055124</v>
      </c>
      <c r="G29" s="37">
        <f t="shared" si="5"/>
        <v>0.9577023958040575</v>
      </c>
      <c r="H29" s="41">
        <f t="shared" si="6"/>
        <v>5.103606777355422</v>
      </c>
      <c r="I29" s="40">
        <f t="shared" si="7"/>
        <v>2.4367422749940055</v>
      </c>
      <c r="J29" s="38">
        <f t="shared" si="8"/>
        <v>-0.29682531730166495</v>
      </c>
      <c r="K29" s="40">
        <f t="shared" si="9"/>
        <v>0.047707374145109616</v>
      </c>
      <c r="L29" s="40">
        <f t="shared" si="10"/>
        <v>0.2596616994014133</v>
      </c>
      <c r="M29" s="40">
        <f t="shared" si="11"/>
        <v>0.0005500135046749473</v>
      </c>
      <c r="N29" s="40">
        <f t="shared" si="12"/>
        <v>0.05996326871467679</v>
      </c>
      <c r="O29" s="40">
        <f t="shared" si="13"/>
        <v>0</v>
      </c>
      <c r="P29" s="40">
        <f t="shared" si="14"/>
        <v>0.3</v>
      </c>
      <c r="Q29" s="42">
        <f t="shared" si="15"/>
        <v>0.4458340956509569</v>
      </c>
      <c r="R29" s="43">
        <f t="shared" si="16"/>
        <v>6</v>
      </c>
      <c r="S29" s="44">
        <f t="shared" si="17"/>
        <v>8.605808116116474</v>
      </c>
      <c r="T29" s="40">
        <f t="shared" si="18"/>
        <v>3.9367422749940055</v>
      </c>
      <c r="U29" s="40">
        <f t="shared" si="19"/>
        <v>6.169065841122469</v>
      </c>
      <c r="V29" s="45">
        <f t="shared" si="20"/>
        <v>-2.6058081161164743</v>
      </c>
      <c r="W29" s="46">
        <f t="shared" si="21"/>
        <v>-13.882576370644962</v>
      </c>
      <c r="X29" s="60">
        <f t="shared" si="25"/>
        <v>-0.203860801675666</v>
      </c>
      <c r="Y29" s="40">
        <f t="shared" si="22"/>
        <v>1.0993211590790997</v>
      </c>
      <c r="Z29" s="40">
        <f t="shared" si="23"/>
        <v>1.0993211590790997</v>
      </c>
    </row>
    <row r="30" spans="1:26" s="59" customFormat="1" ht="15" customHeight="1">
      <c r="A30" s="48">
        <f t="shared" si="24"/>
        <v>0.6600000000000001</v>
      </c>
      <c r="B30" s="51">
        <f t="shared" si="0"/>
        <v>-123.18887999377392</v>
      </c>
      <c r="C30" s="69">
        <f t="shared" si="1"/>
        <v>0.06545</v>
      </c>
      <c r="D30" s="50">
        <f t="shared" si="2"/>
        <v>2705.8715551593414</v>
      </c>
      <c r="E30" s="50">
        <f t="shared" si="3"/>
        <v>606.0606060606059</v>
      </c>
      <c r="F30" s="51">
        <f t="shared" si="4"/>
        <v>0.9024988800005627</v>
      </c>
      <c r="G30" s="48">
        <f t="shared" si="5"/>
        <v>0.9679897873439935</v>
      </c>
      <c r="H30" s="52">
        <f t="shared" si="6"/>
        <v>5.256102682018508</v>
      </c>
      <c r="I30" s="51">
        <f t="shared" si="7"/>
        <v>2.4742306176862208</v>
      </c>
      <c r="J30" s="49">
        <f t="shared" si="8"/>
        <v>-0.3013918606447675</v>
      </c>
      <c r="K30" s="51">
        <f t="shared" si="9"/>
        <v>0.04912044765950779</v>
      </c>
      <c r="L30" s="51">
        <f t="shared" si="10"/>
        <v>0.27630694230682384</v>
      </c>
      <c r="M30" s="51">
        <f t="shared" si="11"/>
        <v>0.0005441681906552935</v>
      </c>
      <c r="N30" s="51">
        <f t="shared" si="12"/>
        <v>0.05931721993262372</v>
      </c>
      <c r="O30" s="51">
        <f t="shared" si="13"/>
        <v>0</v>
      </c>
      <c r="P30" s="51">
        <f t="shared" si="14"/>
        <v>0.3</v>
      </c>
      <c r="Q30" s="53">
        <f t="shared" si="15"/>
        <v>0.4458340956509569</v>
      </c>
      <c r="R30" s="54">
        <f t="shared" si="16"/>
        <v>6</v>
      </c>
      <c r="S30" s="55">
        <f t="shared" si="17"/>
        <v>8.811791557595134</v>
      </c>
      <c r="T30" s="51">
        <f t="shared" si="18"/>
        <v>3.9742306176862208</v>
      </c>
      <c r="U30" s="51">
        <f t="shared" si="19"/>
        <v>6.337560939908913</v>
      </c>
      <c r="V30" s="56">
        <f t="shared" si="20"/>
        <v>-2.811791557595134</v>
      </c>
      <c r="W30" s="57">
        <f t="shared" si="21"/>
        <v>-13.920064713337178</v>
      </c>
      <c r="X30" s="58">
        <f t="shared" si="25"/>
        <v>-0.20819480406234003</v>
      </c>
      <c r="Y30" s="51">
        <f t="shared" si="22"/>
        <v>1.0993211590790997</v>
      </c>
      <c r="Z30" s="51">
        <f t="shared" si="23"/>
        <v>1.0993211590790997</v>
      </c>
    </row>
    <row r="31" spans="1:26" s="59" customFormat="1" ht="15" customHeight="1">
      <c r="A31" s="48">
        <f t="shared" si="24"/>
        <v>0.6700000000000002</v>
      </c>
      <c r="B31" s="51">
        <f t="shared" si="0"/>
        <v>-123.18887999377392</v>
      </c>
      <c r="C31" s="69">
        <f t="shared" si="1"/>
        <v>0.06545</v>
      </c>
      <c r="D31" s="50">
        <f t="shared" si="2"/>
        <v>2665.4854125450224</v>
      </c>
      <c r="E31" s="50">
        <f t="shared" si="3"/>
        <v>597.0149253731342</v>
      </c>
      <c r="F31" s="51">
        <f t="shared" si="4"/>
        <v>0.9135737660196204</v>
      </c>
      <c r="G31" s="48">
        <f t="shared" si="5"/>
        <v>0.9783235793740597</v>
      </c>
      <c r="H31" s="52">
        <f t="shared" si="6"/>
        <v>5.4121708622988205</v>
      </c>
      <c r="I31" s="51">
        <f t="shared" si="7"/>
        <v>2.5117189603784364</v>
      </c>
      <c r="J31" s="49">
        <f t="shared" si="8"/>
        <v>-0.30595840398787005</v>
      </c>
      <c r="K31" s="51">
        <f t="shared" si="9"/>
        <v>0.05055115119496013</v>
      </c>
      <c r="L31" s="51">
        <f t="shared" si="10"/>
        <v>0.2937916824491887</v>
      </c>
      <c r="M31" s="51">
        <f t="shared" si="11"/>
        <v>0.0005384202755174338</v>
      </c>
      <c r="N31" s="51">
        <f t="shared" si="12"/>
        <v>0.05868212346375134</v>
      </c>
      <c r="O31" s="51">
        <f t="shared" si="13"/>
        <v>0</v>
      </c>
      <c r="P31" s="51">
        <f t="shared" si="14"/>
        <v>0.3</v>
      </c>
      <c r="Q31" s="53">
        <f t="shared" si="15"/>
        <v>0.4458340956509569</v>
      </c>
      <c r="R31" s="54">
        <f t="shared" si="16"/>
        <v>6</v>
      </c>
      <c r="S31" s="55">
        <f t="shared" si="17"/>
        <v>9.022197724241154</v>
      </c>
      <c r="T31" s="51">
        <f t="shared" si="18"/>
        <v>4.0117189603784364</v>
      </c>
      <c r="U31" s="51">
        <f t="shared" si="19"/>
        <v>6.510478763862718</v>
      </c>
      <c r="V31" s="56">
        <f t="shared" si="20"/>
        <v>-3.0221977242411544</v>
      </c>
      <c r="W31" s="57">
        <f t="shared" si="21"/>
        <v>-13.957553056029393</v>
      </c>
      <c r="X31" s="58">
        <f t="shared" si="25"/>
        <v>-0.2127147861432972</v>
      </c>
      <c r="Y31" s="51">
        <f t="shared" si="22"/>
        <v>1.0993211590790997</v>
      </c>
      <c r="Z31" s="51">
        <f t="shared" si="23"/>
        <v>1.0993211590790997</v>
      </c>
    </row>
    <row r="32" spans="1:26" s="59" customFormat="1" ht="15" customHeight="1">
      <c r="A32" s="48">
        <f t="shared" si="24"/>
        <v>0.6800000000000002</v>
      </c>
      <c r="B32" s="51">
        <f t="shared" si="0"/>
        <v>-123.18887999377392</v>
      </c>
      <c r="C32" s="69">
        <f t="shared" si="1"/>
        <v>0.06545</v>
      </c>
      <c r="D32" s="50">
        <f t="shared" si="2"/>
        <v>2626.2870976546546</v>
      </c>
      <c r="E32" s="50">
        <f t="shared" si="3"/>
        <v>588.235294117647</v>
      </c>
      <c r="F32" s="51">
        <f t="shared" si="4"/>
        <v>0.9246795507633109</v>
      </c>
      <c r="G32" s="48">
        <f t="shared" si="5"/>
        <v>0.9887023169790988</v>
      </c>
      <c r="H32" s="52">
        <f t="shared" si="6"/>
        <v>5.571970000679016</v>
      </c>
      <c r="I32" s="51">
        <f t="shared" si="7"/>
        <v>2.5492073030706517</v>
      </c>
      <c r="J32" s="49">
        <f t="shared" si="8"/>
        <v>-0.3105249473309726</v>
      </c>
      <c r="K32" s="51">
        <f t="shared" si="9"/>
        <v>0.051999316750586944</v>
      </c>
      <c r="L32" s="51">
        <f t="shared" si="10"/>
        <v>0.3121519220548983</v>
      </c>
      <c r="M32" s="51">
        <f t="shared" si="11"/>
        <v>0.0005327682985119561</v>
      </c>
      <c r="N32" s="51">
        <f t="shared" si="12"/>
        <v>0.05805780842620449</v>
      </c>
      <c r="O32" s="51">
        <f t="shared" si="13"/>
        <v>0</v>
      </c>
      <c r="P32" s="51">
        <f t="shared" si="14"/>
        <v>0.3</v>
      </c>
      <c r="Q32" s="53">
        <f t="shared" si="15"/>
        <v>0.4458340956509569</v>
      </c>
      <c r="R32" s="54">
        <f t="shared" si="16"/>
        <v>6</v>
      </c>
      <c r="S32" s="55">
        <f t="shared" si="17"/>
        <v>9.237221129881728</v>
      </c>
      <c r="T32" s="51">
        <f t="shared" si="18"/>
        <v>4.049207303070652</v>
      </c>
      <c r="U32" s="51">
        <f t="shared" si="19"/>
        <v>6.688013826811076</v>
      </c>
      <c r="V32" s="56">
        <f t="shared" si="20"/>
        <v>-3.2372211298817284</v>
      </c>
      <c r="W32" s="57">
        <f t="shared" si="21"/>
        <v>-13.99504139872161</v>
      </c>
      <c r="X32" s="58">
        <f t="shared" si="25"/>
        <v>-0.2174387241029967</v>
      </c>
      <c r="Y32" s="51">
        <f t="shared" si="22"/>
        <v>1.0993211590790997</v>
      </c>
      <c r="Z32" s="51">
        <f t="shared" si="23"/>
        <v>1.0993211590790997</v>
      </c>
    </row>
    <row r="33" spans="1:26" s="59" customFormat="1" ht="15" customHeight="1">
      <c r="A33" s="48">
        <f t="shared" si="24"/>
        <v>0.6900000000000002</v>
      </c>
      <c r="B33" s="51">
        <f t="shared" si="0"/>
        <v>-123.18887999377392</v>
      </c>
      <c r="C33" s="69">
        <f t="shared" si="1"/>
        <v>0.06545</v>
      </c>
      <c r="D33" s="50">
        <f t="shared" si="2"/>
        <v>2588.2249658045866</v>
      </c>
      <c r="E33" s="50">
        <f t="shared" si="3"/>
        <v>579.7101449275361</v>
      </c>
      <c r="F33" s="51">
        <f t="shared" si="4"/>
        <v>0.9358151341605716</v>
      </c>
      <c r="G33" s="48">
        <f t="shared" si="5"/>
        <v>0.9991245994989657</v>
      </c>
      <c r="H33" s="52">
        <f t="shared" si="6"/>
        <v>5.735675769996288</v>
      </c>
      <c r="I33" s="51">
        <f t="shared" si="7"/>
        <v>2.5866956457628674</v>
      </c>
      <c r="J33" s="49">
        <f t="shared" si="8"/>
        <v>-0.3150914906740751</v>
      </c>
      <c r="K33" s="51">
        <f t="shared" si="9"/>
        <v>0.05346477461255725</v>
      </c>
      <c r="L33" s="51">
        <f t="shared" si="10"/>
        <v>0.3314255597449528</v>
      </c>
      <c r="M33" s="51">
        <f t="shared" si="11"/>
        <v>0.0005272107717255024</v>
      </c>
      <c r="N33" s="51">
        <f t="shared" si="12"/>
        <v>0.05744410129208195</v>
      </c>
      <c r="O33" s="51">
        <f t="shared" si="13"/>
        <v>0</v>
      </c>
      <c r="P33" s="51">
        <f t="shared" si="14"/>
        <v>0.3</v>
      </c>
      <c r="Q33" s="53">
        <f t="shared" si="15"/>
        <v>0.4458340956509569</v>
      </c>
      <c r="R33" s="54">
        <f t="shared" si="16"/>
        <v>6</v>
      </c>
      <c r="S33" s="55">
        <f t="shared" si="17"/>
        <v>9.457075172447148</v>
      </c>
      <c r="T33" s="51">
        <f t="shared" si="18"/>
        <v>4.086695645762868</v>
      </c>
      <c r="U33" s="51">
        <f t="shared" si="19"/>
        <v>6.87037952668428</v>
      </c>
      <c r="V33" s="56">
        <f t="shared" si="20"/>
        <v>-3.457075172447148</v>
      </c>
      <c r="W33" s="57">
        <f t="shared" si="21"/>
        <v>-14.032529741413825</v>
      </c>
      <c r="X33" s="58">
        <f t="shared" si="25"/>
        <v>-0.22238654335269015</v>
      </c>
      <c r="Y33" s="51">
        <f t="shared" si="22"/>
        <v>1.0993211590790997</v>
      </c>
      <c r="Z33" s="51">
        <f t="shared" si="23"/>
        <v>1.0993211590790997</v>
      </c>
    </row>
    <row r="34" spans="1:26" s="47" customFormat="1" ht="15" customHeight="1">
      <c r="A34" s="37">
        <f t="shared" si="24"/>
        <v>0.7000000000000002</v>
      </c>
      <c r="B34" s="40">
        <f t="shared" si="0"/>
        <v>-123.18887999377392</v>
      </c>
      <c r="C34" s="68">
        <f t="shared" si="1"/>
        <v>0.06545</v>
      </c>
      <c r="D34" s="39">
        <f t="shared" si="2"/>
        <v>2551.25032343595</v>
      </c>
      <c r="E34" s="39">
        <f t="shared" si="3"/>
        <v>571.4285714285713</v>
      </c>
      <c r="F34" s="40">
        <f t="shared" si="4"/>
        <v>0.9469794649999876</v>
      </c>
      <c r="G34" s="37">
        <f t="shared" si="5"/>
        <v>1.0095890783539918</v>
      </c>
      <c r="H34" s="41">
        <f t="shared" si="6"/>
        <v>5.903482754027024</v>
      </c>
      <c r="I34" s="40">
        <f t="shared" si="7"/>
        <v>2.6241839884550826</v>
      </c>
      <c r="J34" s="38">
        <f t="shared" si="8"/>
        <v>-0.31965803401717763</v>
      </c>
      <c r="K34" s="40">
        <f t="shared" si="9"/>
        <v>0.05494735338717613</v>
      </c>
      <c r="L34" s="40">
        <f t="shared" si="10"/>
        <v>0.35165255190739814</v>
      </c>
      <c r="M34" s="40">
        <f t="shared" si="11"/>
        <v>0.0005217461860924464</v>
      </c>
      <c r="N34" s="40">
        <f t="shared" si="12"/>
        <v>0.056840826546645594</v>
      </c>
      <c r="O34" s="40">
        <f t="shared" si="13"/>
        <v>0</v>
      </c>
      <c r="P34" s="40">
        <f t="shared" si="14"/>
        <v>0.3</v>
      </c>
      <c r="Q34" s="42">
        <f t="shared" si="15"/>
        <v>0.4458340956509569</v>
      </c>
      <c r="R34" s="43">
        <f t="shared" si="16"/>
        <v>6</v>
      </c>
      <c r="S34" s="44">
        <f t="shared" si="17"/>
        <v>9.681994216587109</v>
      </c>
      <c r="T34" s="40">
        <f t="shared" si="18"/>
        <v>4.124183988455083</v>
      </c>
      <c r="U34" s="40">
        <f t="shared" si="19"/>
        <v>7.057810228132026</v>
      </c>
      <c r="V34" s="45">
        <f t="shared" si="20"/>
        <v>-3.6819942165871087</v>
      </c>
      <c r="W34" s="46">
        <f t="shared" si="21"/>
        <v>-14.07001808410604</v>
      </c>
      <c r="X34" s="61"/>
      <c r="Y34" s="40">
        <f t="shared" si="22"/>
        <v>1.0993211590790997</v>
      </c>
      <c r="Z34" s="40">
        <f t="shared" si="23"/>
        <v>1.0993211590790997</v>
      </c>
    </row>
    <row r="35" spans="1:23" ht="15" customHeight="1">
      <c r="A35" s="3"/>
      <c r="B35" s="2"/>
      <c r="C35" s="2"/>
      <c r="D35" s="11"/>
      <c r="E35" s="2"/>
      <c r="F35" s="2"/>
      <c r="G35" s="3"/>
      <c r="H35" s="5"/>
      <c r="I35" s="5"/>
      <c r="J35" s="5"/>
      <c r="K35" s="5"/>
      <c r="L35" s="2"/>
      <c r="M35" s="5"/>
      <c r="N35" s="5"/>
      <c r="O35" s="5"/>
      <c r="P35" s="5"/>
      <c r="Q35" s="7"/>
      <c r="R35" s="8"/>
      <c r="S35" s="31"/>
      <c r="U35" s="31"/>
      <c r="V35" s="31"/>
      <c r="W35" s="32"/>
    </row>
    <row r="36" spans="1:21" ht="15" customHeight="1">
      <c r="A36" s="3"/>
      <c r="B36" s="2"/>
      <c r="C36" s="2"/>
      <c r="D36" s="11"/>
      <c r="E36" s="2"/>
      <c r="F36" s="2"/>
      <c r="G36" s="3"/>
      <c r="H36" s="5"/>
      <c r="I36" s="5"/>
      <c r="J36" s="5"/>
      <c r="K36" s="5"/>
      <c r="L36" s="2"/>
      <c r="M36" s="5"/>
      <c r="N36" s="5"/>
      <c r="O36" s="5"/>
      <c r="P36" s="5"/>
      <c r="Q36" s="7"/>
      <c r="R36" s="8"/>
      <c r="S36" s="5"/>
      <c r="U36" s="5"/>
    </row>
    <row r="37" spans="1:21" ht="15" customHeight="1">
      <c r="A37" s="3"/>
      <c r="B37" s="2"/>
      <c r="C37" s="2"/>
      <c r="D37" s="11"/>
      <c r="E37" s="2"/>
      <c r="F37" s="2"/>
      <c r="G37" s="3"/>
      <c r="H37" s="5"/>
      <c r="I37" s="5"/>
      <c r="J37" s="5"/>
      <c r="K37" s="5"/>
      <c r="L37" s="2"/>
      <c r="M37" s="5"/>
      <c r="N37" s="5"/>
      <c r="O37" s="5"/>
      <c r="P37" s="5"/>
      <c r="Q37" s="7"/>
      <c r="R37" s="8"/>
      <c r="S37" s="5"/>
      <c r="U37" s="5"/>
    </row>
    <row r="38" spans="1:21" ht="15" customHeight="1">
      <c r="A38" s="3"/>
      <c r="B38" s="2"/>
      <c r="C38" s="2"/>
      <c r="D38" s="11"/>
      <c r="E38" s="2"/>
      <c r="F38" s="2"/>
      <c r="G38" s="3"/>
      <c r="H38" s="5"/>
      <c r="I38" s="5"/>
      <c r="J38" s="5"/>
      <c r="K38" s="5"/>
      <c r="L38" s="2"/>
      <c r="M38" s="5"/>
      <c r="N38" s="5"/>
      <c r="O38" s="5"/>
      <c r="P38" s="5"/>
      <c r="Q38" s="7"/>
      <c r="R38" s="8"/>
      <c r="S38" s="5"/>
      <c r="U38" s="5"/>
    </row>
    <row r="39" spans="1:21" ht="15" customHeight="1">
      <c r="A39" s="3"/>
      <c r="B39" s="2"/>
      <c r="C39" s="2"/>
      <c r="D39" s="11"/>
      <c r="E39" s="2"/>
      <c r="F39" s="2"/>
      <c r="G39" s="3"/>
      <c r="H39" s="5"/>
      <c r="I39" s="5"/>
      <c r="J39" s="5"/>
      <c r="K39" s="5"/>
      <c r="L39" s="2"/>
      <c r="M39" s="5"/>
      <c r="N39" s="5"/>
      <c r="O39" s="5"/>
      <c r="P39" s="5"/>
      <c r="Q39" s="7"/>
      <c r="R39" s="8"/>
      <c r="S39" s="5"/>
      <c r="U39" s="5"/>
    </row>
    <row r="40" spans="1:21" ht="15" customHeight="1">
      <c r="A40" s="3"/>
      <c r="B40" s="2"/>
      <c r="C40" s="2"/>
      <c r="D40" s="11"/>
      <c r="E40" s="2"/>
      <c r="F40" s="2"/>
      <c r="G40" s="3"/>
      <c r="H40" s="5"/>
      <c r="I40" s="5"/>
      <c r="J40" s="5"/>
      <c r="K40" s="5"/>
      <c r="L40" s="2"/>
      <c r="M40" s="5"/>
      <c r="N40" s="5"/>
      <c r="O40" s="5"/>
      <c r="P40" s="5"/>
      <c r="Q40" s="7"/>
      <c r="R40" s="8"/>
      <c r="S40" s="5"/>
      <c r="U40" s="5"/>
    </row>
    <row r="41" spans="1:21" ht="15" customHeight="1">
      <c r="A41" s="3"/>
      <c r="B41" s="2"/>
      <c r="C41" s="2"/>
      <c r="D41" s="11"/>
      <c r="E41" s="2"/>
      <c r="F41" s="2"/>
      <c r="G41" s="3"/>
      <c r="H41" s="5"/>
      <c r="I41" s="5"/>
      <c r="J41" s="5"/>
      <c r="K41" s="5"/>
      <c r="L41" s="2"/>
      <c r="M41" s="5"/>
      <c r="N41" s="5"/>
      <c r="O41" s="5"/>
      <c r="P41" s="5"/>
      <c r="Q41" s="7"/>
      <c r="R41" s="8"/>
      <c r="S41" s="5"/>
      <c r="U41" s="5"/>
    </row>
    <row r="42" spans="1:21" ht="15" customHeight="1">
      <c r="A42" s="3"/>
      <c r="B42" s="2"/>
      <c r="C42" s="2"/>
      <c r="D42" s="11"/>
      <c r="E42" s="2"/>
      <c r="F42" s="2"/>
      <c r="G42" s="3"/>
      <c r="H42" s="5"/>
      <c r="I42" s="5"/>
      <c r="J42" s="5"/>
      <c r="K42" s="5"/>
      <c r="L42" s="2"/>
      <c r="M42" s="5"/>
      <c r="N42" s="5"/>
      <c r="O42" s="5"/>
      <c r="P42" s="5"/>
      <c r="Q42" s="7"/>
      <c r="R42" s="8"/>
      <c r="S42" s="5"/>
      <c r="U42" s="5"/>
    </row>
    <row r="43" spans="1:21" ht="15" customHeight="1">
      <c r="A43" s="3"/>
      <c r="B43" s="2"/>
      <c r="C43" s="2"/>
      <c r="D43" s="11"/>
      <c r="E43" s="2"/>
      <c r="F43" s="2"/>
      <c r="G43" s="3"/>
      <c r="H43" s="5"/>
      <c r="I43" s="5"/>
      <c r="J43" s="5"/>
      <c r="K43" s="5"/>
      <c r="L43" s="2"/>
      <c r="M43" s="5"/>
      <c r="N43" s="5"/>
      <c r="O43" s="5"/>
      <c r="P43" s="5"/>
      <c r="Q43" s="7"/>
      <c r="R43" s="8"/>
      <c r="S43" s="5"/>
      <c r="U43" s="5"/>
    </row>
    <row r="44" spans="1:21" ht="15" customHeight="1">
      <c r="A44" s="3"/>
      <c r="B44" s="2"/>
      <c r="C44" s="2"/>
      <c r="D44" s="11"/>
      <c r="E44" s="2"/>
      <c r="F44" s="2"/>
      <c r="G44" s="3"/>
      <c r="H44" s="5"/>
      <c r="I44" s="5"/>
      <c r="J44" s="5"/>
      <c r="K44" s="5"/>
      <c r="L44" s="2"/>
      <c r="M44" s="5"/>
      <c r="N44" s="5"/>
      <c r="O44" s="5"/>
      <c r="P44" s="5"/>
      <c r="Q44" s="7"/>
      <c r="R44" s="8"/>
      <c r="S44" s="5"/>
      <c r="U44" s="5"/>
    </row>
    <row r="45" spans="1:21" ht="15" customHeight="1">
      <c r="A45" s="3"/>
      <c r="B45" s="2"/>
      <c r="C45" s="2"/>
      <c r="D45" s="11"/>
      <c r="E45" s="2"/>
      <c r="F45" s="2"/>
      <c r="G45" s="3"/>
      <c r="H45" s="5"/>
      <c r="I45" s="5"/>
      <c r="J45" s="5"/>
      <c r="K45" s="5"/>
      <c r="L45" s="2"/>
      <c r="M45" s="5"/>
      <c r="N45" s="5"/>
      <c r="O45" s="5"/>
      <c r="P45" s="5"/>
      <c r="Q45" s="7"/>
      <c r="R45" s="8"/>
      <c r="S45" s="5"/>
      <c r="U45" s="5"/>
    </row>
    <row r="46" spans="1:21" ht="15" customHeight="1">
      <c r="A46" s="3"/>
      <c r="B46" s="2"/>
      <c r="C46" s="2"/>
      <c r="D46" s="11"/>
      <c r="E46" s="2"/>
      <c r="F46" s="2"/>
      <c r="G46" s="3"/>
      <c r="H46" s="5"/>
      <c r="I46" s="5"/>
      <c r="J46" s="5"/>
      <c r="K46" s="5"/>
      <c r="L46" s="2"/>
      <c r="M46" s="5"/>
      <c r="N46" s="2"/>
      <c r="O46" s="2"/>
      <c r="P46" s="5"/>
      <c r="Q46" s="7"/>
      <c r="R46" s="8"/>
      <c r="S46" s="5"/>
      <c r="U46" s="5"/>
    </row>
    <row r="47" spans="1:21" ht="15" customHeight="1">
      <c r="A47" s="3"/>
      <c r="B47" s="2"/>
      <c r="C47" s="2"/>
      <c r="D47" s="11"/>
      <c r="E47" s="2"/>
      <c r="F47" s="2"/>
      <c r="G47" s="3"/>
      <c r="H47" s="5"/>
      <c r="I47" s="5"/>
      <c r="J47" s="5"/>
      <c r="K47" s="5"/>
      <c r="L47" s="2"/>
      <c r="M47" s="5"/>
      <c r="N47" s="2"/>
      <c r="O47" s="2"/>
      <c r="P47" s="2"/>
      <c r="Q47" s="33"/>
      <c r="R47" s="8"/>
      <c r="S47" s="5"/>
      <c r="U47" s="5"/>
    </row>
    <row r="48" spans="1:21" ht="15" customHeight="1">
      <c r="A48" s="3"/>
      <c r="B48" s="2"/>
      <c r="C48" s="2"/>
      <c r="D48" s="11"/>
      <c r="E48" s="2"/>
      <c r="F48" s="2"/>
      <c r="G48" s="3"/>
      <c r="H48" s="5"/>
      <c r="I48" s="5"/>
      <c r="J48" s="5"/>
      <c r="K48" s="5"/>
      <c r="L48" s="2"/>
      <c r="M48" s="5"/>
      <c r="N48" s="2"/>
      <c r="O48" s="2"/>
      <c r="P48" s="5"/>
      <c r="Q48" s="7"/>
      <c r="R48" s="8"/>
      <c r="S48" s="5"/>
      <c r="U48" s="5"/>
    </row>
    <row r="49" spans="1:15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5"/>
      <c r="O49" s="5"/>
    </row>
    <row r="50" spans="1:15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5"/>
      <c r="O50" s="5"/>
    </row>
    <row r="51" spans="1:15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5"/>
      <c r="O51" s="5"/>
    </row>
    <row r="52" spans="1:15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5"/>
      <c r="O52" s="5"/>
    </row>
    <row r="53" spans="1:15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5"/>
      <c r="O53" s="5"/>
    </row>
    <row r="54" spans="1:15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"/>
      <c r="O54" s="5"/>
    </row>
    <row r="55" spans="1:15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"/>
      <c r="O55" s="5"/>
    </row>
    <row r="56" spans="1:15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5"/>
      <c r="O56" s="5"/>
    </row>
    <row r="57" spans="1:15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5"/>
      <c r="O57" s="5"/>
    </row>
    <row r="58" spans="1:15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5"/>
      <c r="O58" s="5"/>
    </row>
    <row r="59" spans="1:15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"/>
      <c r="O59" s="5"/>
    </row>
    <row r="60" spans="1:15" ht="1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5"/>
      <c r="O60" s="5"/>
    </row>
    <row r="61" spans="1:15" ht="1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5"/>
      <c r="O61" s="5"/>
    </row>
    <row r="62" spans="1:15" ht="1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5"/>
      <c r="O62" s="5"/>
    </row>
    <row r="63" spans="1:15" ht="1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5"/>
      <c r="O63" s="5"/>
    </row>
    <row r="64" spans="1:15" ht="1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5"/>
      <c r="O64" s="5"/>
    </row>
    <row r="65" spans="1:15" ht="15" customHeight="1">
      <c r="A65" s="3"/>
      <c r="B65" s="2"/>
      <c r="C65" s="2"/>
      <c r="D65" s="11"/>
      <c r="E65" s="2"/>
      <c r="F65" s="2"/>
      <c r="G65" s="3"/>
      <c r="H65" s="5"/>
      <c r="I65" s="5"/>
      <c r="J65" s="5"/>
      <c r="K65" s="5"/>
      <c r="L65" s="2"/>
      <c r="M65" s="5"/>
      <c r="N65" s="5"/>
      <c r="O65" s="5"/>
    </row>
    <row r="66" spans="1:15" ht="15" customHeight="1">
      <c r="A66" s="3"/>
      <c r="B66" s="2"/>
      <c r="C66" s="2"/>
      <c r="D66" s="11"/>
      <c r="E66" s="2"/>
      <c r="F66" s="2"/>
      <c r="G66" s="3"/>
      <c r="H66" s="5"/>
      <c r="I66" s="5"/>
      <c r="J66" s="5"/>
      <c r="K66" s="5"/>
      <c r="L66" s="2"/>
      <c r="M66" s="5"/>
      <c r="N66" s="5"/>
      <c r="O66" s="5"/>
    </row>
    <row r="67" spans="1:15" ht="15" customHeight="1">
      <c r="A67" s="3"/>
      <c r="B67" s="2"/>
      <c r="C67" s="2"/>
      <c r="D67" s="11"/>
      <c r="E67" s="2"/>
      <c r="F67" s="2"/>
      <c r="G67" s="3"/>
      <c r="H67" s="5"/>
      <c r="I67" s="5"/>
      <c r="J67" s="5"/>
      <c r="K67" s="5"/>
      <c r="L67" s="2"/>
      <c r="M67" s="5"/>
      <c r="N67" s="5"/>
      <c r="O67" s="5"/>
    </row>
    <row r="68" spans="1:15" ht="15" customHeight="1">
      <c r="A68" s="3"/>
      <c r="B68" s="2"/>
      <c r="C68" s="2"/>
      <c r="D68" s="11"/>
      <c r="E68" s="2"/>
      <c r="F68" s="2"/>
      <c r="G68" s="3"/>
      <c r="H68" s="5"/>
      <c r="I68" s="5"/>
      <c r="J68" s="5"/>
      <c r="K68" s="5"/>
      <c r="L68" s="2"/>
      <c r="M68" s="5"/>
      <c r="N68" s="5"/>
      <c r="O68" s="5"/>
    </row>
    <row r="69" spans="1:15" ht="15" customHeight="1">
      <c r="A69" s="3"/>
      <c r="B69" s="2"/>
      <c r="C69" s="2"/>
      <c r="D69" s="11"/>
      <c r="E69" s="2"/>
      <c r="F69" s="2"/>
      <c r="G69" s="3"/>
      <c r="H69" s="5"/>
      <c r="I69" s="5"/>
      <c r="J69" s="5"/>
      <c r="K69" s="5"/>
      <c r="L69" s="2"/>
      <c r="M69" s="5"/>
      <c r="N69" s="5"/>
      <c r="O69" s="5"/>
    </row>
    <row r="70" spans="1:15" ht="15" customHeight="1">
      <c r="A70" s="4"/>
      <c r="B70" s="5"/>
      <c r="C70" s="3"/>
      <c r="D70" s="11"/>
      <c r="E70" s="2"/>
      <c r="F70" s="2"/>
      <c r="G70" s="3"/>
      <c r="H70" s="5"/>
      <c r="I70" s="5"/>
      <c r="J70" s="5"/>
      <c r="K70" s="5"/>
      <c r="L70" s="2"/>
      <c r="M70" s="2"/>
      <c r="N70" s="2"/>
      <c r="O70" s="2"/>
    </row>
    <row r="71" spans="1:15" ht="15" customHeight="1">
      <c r="A71" s="8"/>
      <c r="B71" s="2"/>
      <c r="C71" s="14"/>
      <c r="D71" s="11"/>
      <c r="E71" s="2"/>
      <c r="F71" s="2"/>
      <c r="G71" s="3"/>
      <c r="H71" s="5"/>
      <c r="I71" s="5"/>
      <c r="J71" s="5"/>
      <c r="K71" s="2"/>
      <c r="L71" s="2"/>
      <c r="M71" s="2"/>
      <c r="N71" s="2"/>
      <c r="O71" s="2"/>
    </row>
    <row r="72" spans="1:15" ht="15" customHeight="1">
      <c r="A72" s="5"/>
      <c r="B72" s="5"/>
      <c r="C72" s="5"/>
      <c r="D72" s="11"/>
      <c r="E72" s="2"/>
      <c r="F72" s="2"/>
      <c r="G72" s="3"/>
      <c r="H72" s="5"/>
      <c r="I72" s="5"/>
      <c r="J72" s="5"/>
      <c r="K72" s="5"/>
      <c r="L72" s="2"/>
      <c r="M72" s="2"/>
      <c r="N72" s="2"/>
      <c r="O72" s="2"/>
    </row>
    <row r="73" spans="1:15" ht="15" customHeight="1">
      <c r="A73" s="35"/>
      <c r="B73" s="4"/>
      <c r="C73" s="4"/>
      <c r="D73" s="11"/>
      <c r="E73" s="2"/>
      <c r="F73" s="2"/>
      <c r="G73" s="3"/>
      <c r="H73" s="5"/>
      <c r="I73" s="5"/>
      <c r="J73" s="5"/>
      <c r="K73" s="2"/>
      <c r="L73" s="11"/>
      <c r="M73" s="2"/>
      <c r="N73" s="2"/>
      <c r="O73" s="2"/>
    </row>
    <row r="74" spans="1:15" ht="15" customHeight="1">
      <c r="A74" s="22"/>
      <c r="B74" s="4"/>
      <c r="C74" s="4"/>
      <c r="D74" s="11"/>
      <c r="E74" s="2"/>
      <c r="F74" s="2"/>
      <c r="G74" s="3"/>
      <c r="H74" s="5"/>
      <c r="I74" s="5"/>
      <c r="J74" s="5"/>
      <c r="K74" s="5"/>
      <c r="L74" s="2"/>
      <c r="M74" s="2"/>
      <c r="N74" s="2"/>
      <c r="O74" s="2"/>
    </row>
    <row r="75" spans="1:15" ht="15" customHeight="1">
      <c r="A75" s="22"/>
      <c r="B75" s="4"/>
      <c r="C75" s="4"/>
      <c r="D75" s="11"/>
      <c r="E75" s="2"/>
      <c r="F75" s="2"/>
      <c r="G75" s="3"/>
      <c r="H75" s="5"/>
      <c r="I75" s="5"/>
      <c r="J75" s="5"/>
      <c r="K75" s="5"/>
      <c r="L75" s="2"/>
      <c r="M75" s="2"/>
      <c r="N75" s="2"/>
      <c r="O75" s="2"/>
    </row>
    <row r="76" spans="1:15" ht="15" customHeight="1">
      <c r="A76" s="22"/>
      <c r="B76" s="4"/>
      <c r="C76" s="4"/>
      <c r="D76" s="11"/>
      <c r="E76" s="2"/>
      <c r="F76" s="2"/>
      <c r="G76" s="3"/>
      <c r="H76" s="5"/>
      <c r="I76" s="5"/>
      <c r="J76" s="5"/>
      <c r="K76" s="5"/>
      <c r="L76" s="2"/>
      <c r="M76" s="2"/>
      <c r="N76" s="2"/>
      <c r="O76" s="2"/>
    </row>
    <row r="77" spans="1:15" ht="15" customHeight="1">
      <c r="A77" s="22"/>
      <c r="B77" s="4"/>
      <c r="C77" s="4"/>
      <c r="D77" s="11"/>
      <c r="E77" s="2"/>
      <c r="F77" s="2"/>
      <c r="G77" s="3"/>
      <c r="H77" s="5"/>
      <c r="I77" s="5"/>
      <c r="J77" s="5"/>
      <c r="K77" s="5"/>
      <c r="L77" s="2"/>
      <c r="M77" s="2"/>
      <c r="N77" s="2"/>
      <c r="O77" s="2"/>
    </row>
    <row r="78" spans="1:15" ht="15" customHeight="1">
      <c r="A78" s="22"/>
      <c r="B78" s="4"/>
      <c r="C78" s="4"/>
      <c r="D78" s="11"/>
      <c r="E78" s="2"/>
      <c r="F78" s="2"/>
      <c r="G78" s="3"/>
      <c r="H78" s="5"/>
      <c r="I78" s="5"/>
      <c r="J78" s="5"/>
      <c r="K78" s="5"/>
      <c r="L78" s="2"/>
      <c r="M78" s="2"/>
      <c r="N78" s="2"/>
      <c r="O78" s="2"/>
    </row>
    <row r="79" spans="1:15" ht="15" customHeight="1">
      <c r="A79" s="22"/>
      <c r="B79" s="4"/>
      <c r="C79" s="4"/>
      <c r="D79" s="11"/>
      <c r="E79" s="2"/>
      <c r="F79" s="2"/>
      <c r="G79" s="3"/>
      <c r="H79" s="5"/>
      <c r="I79" s="5"/>
      <c r="J79" s="5"/>
      <c r="K79" s="5"/>
      <c r="L79" s="2"/>
      <c r="M79" s="2"/>
      <c r="N79" s="2"/>
      <c r="O79" s="2"/>
    </row>
    <row r="80" spans="1:15" ht="15" customHeight="1">
      <c r="A80" s="22"/>
      <c r="B80" s="4"/>
      <c r="C80" s="4"/>
      <c r="D80" s="11"/>
      <c r="E80" s="2"/>
      <c r="F80" s="2"/>
      <c r="G80" s="3"/>
      <c r="H80" s="5"/>
      <c r="I80" s="5"/>
      <c r="J80" s="5"/>
      <c r="K80" s="5"/>
      <c r="L80" s="2"/>
      <c r="M80" s="2"/>
      <c r="N80" s="2"/>
      <c r="O80" s="2"/>
    </row>
    <row r="81" spans="1:15" ht="15" customHeight="1">
      <c r="A81" s="22"/>
      <c r="B81" s="4"/>
      <c r="C81" s="4"/>
      <c r="D81" s="11"/>
      <c r="E81" s="2"/>
      <c r="F81" s="2"/>
      <c r="G81" s="3"/>
      <c r="H81" s="5"/>
      <c r="I81" s="5"/>
      <c r="J81" s="5"/>
      <c r="K81" s="5"/>
      <c r="L81" s="2"/>
      <c r="M81" s="2"/>
      <c r="N81" s="2"/>
      <c r="O81" s="2"/>
    </row>
    <row r="82" spans="1:15" ht="15" customHeight="1">
      <c r="A82" s="22"/>
      <c r="B82" s="4"/>
      <c r="C82" s="4"/>
      <c r="D82" s="11"/>
      <c r="E82" s="2"/>
      <c r="F82" s="2"/>
      <c r="G82" s="3"/>
      <c r="H82" s="5"/>
      <c r="I82" s="5"/>
      <c r="J82" s="5"/>
      <c r="K82" s="5"/>
      <c r="L82" s="2"/>
      <c r="M82" s="2"/>
      <c r="N82" s="2"/>
      <c r="O82" s="2"/>
    </row>
    <row r="83" spans="1:15" ht="15" customHeight="1">
      <c r="A83" s="22"/>
      <c r="B83" s="4"/>
      <c r="C83" s="4"/>
      <c r="D83" s="11"/>
      <c r="E83" s="2"/>
      <c r="F83" s="2"/>
      <c r="G83" s="3"/>
      <c r="H83" s="5"/>
      <c r="I83" s="5"/>
      <c r="J83" s="5"/>
      <c r="K83" s="5"/>
      <c r="L83" s="2"/>
      <c r="M83" s="2"/>
      <c r="N83" s="2"/>
      <c r="O83" s="2"/>
    </row>
    <row r="84" spans="1:15" ht="15" customHeight="1">
      <c r="A84" s="3"/>
      <c r="B84" s="2"/>
      <c r="C84" s="2"/>
      <c r="D84" s="11"/>
      <c r="E84" s="2"/>
      <c r="F84" s="2"/>
      <c r="G84" s="3"/>
      <c r="H84" s="5"/>
      <c r="I84" s="5"/>
      <c r="J84" s="5"/>
      <c r="K84" s="5"/>
      <c r="L84" s="2"/>
      <c r="M84" s="36"/>
      <c r="N84" s="5"/>
      <c r="O84" s="5"/>
    </row>
    <row r="85" spans="1:15" ht="15" customHeight="1">
      <c r="A85" s="3"/>
      <c r="B85" s="2"/>
      <c r="C85" s="2"/>
      <c r="D85" s="11"/>
      <c r="E85" s="2"/>
      <c r="F85" s="2"/>
      <c r="G85" s="3"/>
      <c r="H85" s="5"/>
      <c r="I85" s="5"/>
      <c r="J85" s="5"/>
      <c r="K85" s="5"/>
      <c r="L85" s="2"/>
      <c r="M85" s="36"/>
      <c r="N85" s="5"/>
      <c r="O85" s="5"/>
    </row>
    <row r="86" spans="1:15" ht="15" customHeight="1">
      <c r="A86" s="3"/>
      <c r="B86" s="2"/>
      <c r="C86" s="2"/>
      <c r="D86" s="11"/>
      <c r="E86" s="2"/>
      <c r="F86" s="2"/>
      <c r="G86" s="3"/>
      <c r="H86" s="5"/>
      <c r="I86" s="5"/>
      <c r="J86" s="5"/>
      <c r="K86" s="5"/>
      <c r="L86" s="2"/>
      <c r="M86" s="5"/>
      <c r="N86" s="5"/>
      <c r="O86" s="5"/>
    </row>
    <row r="87" spans="1:15" ht="15" customHeight="1">
      <c r="A87" s="3"/>
      <c r="B87" s="2"/>
      <c r="C87" s="2"/>
      <c r="D87" s="11"/>
      <c r="E87" s="2"/>
      <c r="F87" s="2"/>
      <c r="G87" s="3"/>
      <c r="H87" s="5"/>
      <c r="I87" s="5"/>
      <c r="J87" s="5"/>
      <c r="K87" s="5"/>
      <c r="L87" s="2"/>
      <c r="M87" s="5"/>
      <c r="N87" s="5"/>
      <c r="O87" s="5"/>
    </row>
    <row r="88" spans="1:15" ht="15" customHeight="1">
      <c r="A88" s="3"/>
      <c r="B88" s="2"/>
      <c r="C88" s="2"/>
      <c r="D88" s="11"/>
      <c r="E88" s="2"/>
      <c r="F88" s="2"/>
      <c r="G88" s="3"/>
      <c r="H88" s="5"/>
      <c r="I88" s="5"/>
      <c r="J88" s="5"/>
      <c r="K88" s="5"/>
      <c r="L88" s="2"/>
      <c r="M88" s="5"/>
      <c r="N88" s="5"/>
      <c r="O88" s="5"/>
    </row>
    <row r="89" spans="1:15" ht="15" customHeight="1">
      <c r="A89" s="3"/>
      <c r="B89" s="2"/>
      <c r="C89" s="2"/>
      <c r="D89" s="11"/>
      <c r="E89" s="2"/>
      <c r="F89" s="2"/>
      <c r="G89" s="3"/>
      <c r="H89" s="5"/>
      <c r="I89" s="5"/>
      <c r="J89" s="5"/>
      <c r="K89" s="5"/>
      <c r="L89" s="2"/>
      <c r="M89" s="5"/>
      <c r="N89" s="5"/>
      <c r="O89" s="5"/>
    </row>
    <row r="90" spans="1:15" ht="15" customHeight="1">
      <c r="A90" s="3"/>
      <c r="B90" s="2"/>
      <c r="C90" s="2"/>
      <c r="D90" s="11"/>
      <c r="E90" s="2"/>
      <c r="F90" s="2"/>
      <c r="G90" s="3"/>
      <c r="H90" s="5"/>
      <c r="I90" s="5"/>
      <c r="J90" s="5"/>
      <c r="K90" s="5"/>
      <c r="L90" s="2"/>
      <c r="M90" s="5"/>
      <c r="N90" s="5"/>
      <c r="O90" s="5"/>
    </row>
    <row r="91" spans="1:15" ht="15" customHeight="1">
      <c r="A91" s="3"/>
      <c r="B91" s="2"/>
      <c r="C91" s="2"/>
      <c r="D91" s="11"/>
      <c r="E91" s="2"/>
      <c r="F91" s="2"/>
      <c r="G91" s="3"/>
      <c r="H91" s="5"/>
      <c r="I91" s="5"/>
      <c r="J91" s="5"/>
      <c r="K91" s="5"/>
      <c r="L91" s="2"/>
      <c r="M91" s="5"/>
      <c r="N91" s="5"/>
      <c r="O91" s="5"/>
    </row>
    <row r="92" spans="1:15" ht="15" customHeight="1">
      <c r="A92" s="3"/>
      <c r="B92" s="2"/>
      <c r="C92" s="2"/>
      <c r="D92" s="11"/>
      <c r="E92" s="2"/>
      <c r="F92" s="2"/>
      <c r="G92" s="3"/>
      <c r="H92" s="5"/>
      <c r="I92" s="5"/>
      <c r="J92" s="5"/>
      <c r="K92" s="5"/>
      <c r="L92" s="2"/>
      <c r="M92" s="5"/>
      <c r="N92" s="5"/>
      <c r="O92" s="5"/>
    </row>
    <row r="93" spans="1:15" ht="15" customHeight="1">
      <c r="A93" s="3"/>
      <c r="B93" s="2"/>
      <c r="C93" s="2"/>
      <c r="D93" s="11"/>
      <c r="E93" s="2"/>
      <c r="F93" s="2"/>
      <c r="G93" s="3"/>
      <c r="H93" s="5"/>
      <c r="I93" s="5"/>
      <c r="J93" s="5"/>
      <c r="K93" s="5"/>
      <c r="L93" s="2"/>
      <c r="M93" s="5"/>
      <c r="N93" s="5"/>
      <c r="O93" s="5"/>
    </row>
    <row r="94" spans="1:15" ht="15" customHeight="1">
      <c r="A94" s="3"/>
      <c r="B94" s="2"/>
      <c r="C94" s="2"/>
      <c r="D94" s="11"/>
      <c r="E94" s="2"/>
      <c r="F94" s="2"/>
      <c r="G94" s="3"/>
      <c r="H94" s="5"/>
      <c r="I94" s="5"/>
      <c r="J94" s="5"/>
      <c r="K94" s="5"/>
      <c r="L94" s="2"/>
      <c r="M94" s="5"/>
      <c r="N94" s="5"/>
      <c r="O94" s="5"/>
    </row>
    <row r="95" spans="1:15" ht="15" customHeight="1">
      <c r="A95" s="3"/>
      <c r="B95" s="2"/>
      <c r="C95" s="2"/>
      <c r="D95" s="11"/>
      <c r="E95" s="2"/>
      <c r="F95" s="2"/>
      <c r="G95" s="3"/>
      <c r="H95" s="5"/>
      <c r="I95" s="5"/>
      <c r="J95" s="5"/>
      <c r="K95" s="5"/>
      <c r="L95" s="2"/>
      <c r="M95" s="5"/>
      <c r="N95" s="5"/>
      <c r="O95" s="5"/>
    </row>
    <row r="96" spans="1:15" ht="15" customHeight="1">
      <c r="A96" s="3"/>
      <c r="B96" s="2"/>
      <c r="C96" s="2"/>
      <c r="D96" s="11"/>
      <c r="E96" s="2"/>
      <c r="F96" s="2"/>
      <c r="G96" s="3"/>
      <c r="H96" s="5"/>
      <c r="I96" s="5"/>
      <c r="J96" s="5"/>
      <c r="K96" s="5"/>
      <c r="L96" s="2"/>
      <c r="M96" s="5"/>
      <c r="N96" s="5"/>
      <c r="O9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6"/>
  <sheetViews>
    <sheetView showGridLines="0" showOutlineSymbols="0" zoomScale="70" zoomScaleNormal="70" workbookViewId="0" topLeftCell="A1">
      <selection activeCell="K6" sqref="K6"/>
    </sheetView>
  </sheetViews>
  <sheetFormatPr defaultColWidth="9.140625" defaultRowHeight="12.75"/>
  <cols>
    <col min="1" max="1" width="13.421875" style="6" customWidth="1"/>
    <col min="2" max="2" width="10.7109375" style="6" customWidth="1"/>
    <col min="3" max="3" width="10.421875" style="6" customWidth="1"/>
    <col min="4" max="4" width="15.57421875" style="6" customWidth="1"/>
    <col min="5" max="5" width="10.7109375" style="6" customWidth="1"/>
    <col min="6" max="7" width="6.57421875" style="6" customWidth="1"/>
    <col min="8" max="11" width="7.7109375" style="6" customWidth="1"/>
    <col min="12" max="12" width="6.57421875" style="6" customWidth="1"/>
    <col min="13" max="16" width="7.7109375" style="6" customWidth="1"/>
    <col min="17" max="17" width="8.421875" style="12" customWidth="1"/>
    <col min="18" max="18" width="6.00390625" style="6" customWidth="1"/>
    <col min="19" max="19" width="6.57421875" style="6" customWidth="1"/>
    <col min="20" max="20" width="7.28125" style="9" customWidth="1"/>
    <col min="21" max="21" width="7.421875" style="6" customWidth="1"/>
    <col min="22" max="22" width="7.7109375" style="6" customWidth="1"/>
    <col min="23" max="23" width="11.140625" style="17" customWidth="1"/>
    <col min="24" max="24" width="8.8515625" style="17" customWidth="1"/>
    <col min="25" max="25" width="8.140625" style="6" customWidth="1"/>
    <col min="26" max="26" width="7.57421875" style="6" customWidth="1"/>
    <col min="27" max="31" width="10.00390625" style="6" customWidth="1"/>
    <col min="32" max="16384" width="11.140625" style="6" customWidth="1"/>
  </cols>
  <sheetData>
    <row r="1" spans="1:31" ht="15">
      <c r="A1" s="1" t="s">
        <v>0</v>
      </c>
      <c r="B1" s="2"/>
      <c r="C1" s="2"/>
      <c r="D1" s="2"/>
      <c r="E1" s="2" t="s">
        <v>79</v>
      </c>
      <c r="F1" s="2" t="s">
        <v>2</v>
      </c>
      <c r="G1" s="2"/>
      <c r="H1" s="3" t="s">
        <v>78</v>
      </c>
      <c r="I1" s="4" t="s">
        <v>3</v>
      </c>
      <c r="J1" s="5"/>
      <c r="N1" s="5"/>
      <c r="O1" s="5"/>
      <c r="P1" s="5"/>
      <c r="Q1" s="7"/>
      <c r="R1" s="8"/>
      <c r="S1" s="5"/>
      <c r="U1" s="5"/>
      <c r="V1" s="2"/>
      <c r="W1" s="8"/>
      <c r="X1" s="8"/>
      <c r="Y1" s="2"/>
      <c r="Z1" s="2"/>
      <c r="AA1" s="2"/>
      <c r="AB1" s="2"/>
      <c r="AC1" s="2"/>
      <c r="AD1" s="2"/>
      <c r="AE1" s="2"/>
    </row>
    <row r="2" spans="1:31" ht="15.75">
      <c r="A2" s="3" t="s">
        <v>4</v>
      </c>
      <c r="B2" s="10" t="s">
        <v>5</v>
      </c>
      <c r="C2" s="2"/>
      <c r="D2" s="11"/>
      <c r="E2" s="2"/>
      <c r="F2" s="2"/>
      <c r="G2" s="3"/>
      <c r="I2" s="5"/>
      <c r="J2" s="5"/>
      <c r="M2" s="2"/>
      <c r="N2" s="3" t="s">
        <v>6</v>
      </c>
      <c r="O2" s="58">
        <f>1000/$O$6</f>
        <v>0.72</v>
      </c>
      <c r="R2" s="8"/>
      <c r="S2" s="5"/>
      <c r="U2" s="5"/>
      <c r="V2" s="2"/>
      <c r="W2" s="8"/>
      <c r="X2" s="8"/>
      <c r="Y2" s="2"/>
      <c r="Z2" s="2"/>
      <c r="AA2" s="2"/>
      <c r="AB2" s="2"/>
      <c r="AC2" s="2"/>
      <c r="AD2" s="2"/>
      <c r="AE2" s="2"/>
    </row>
    <row r="3" spans="1:31" ht="15" customHeight="1">
      <c r="A3" s="2"/>
      <c r="B3" s="2"/>
      <c r="C3" s="2"/>
      <c r="D3" s="2"/>
      <c r="E3" s="2"/>
      <c r="F3" s="2"/>
      <c r="G3" s="2"/>
      <c r="H3" s="2"/>
      <c r="I3" s="5"/>
      <c r="J3" s="5"/>
      <c r="K3" s="2"/>
      <c r="M3" s="2"/>
      <c r="N3" s="3" t="s">
        <v>7</v>
      </c>
      <c r="O3" s="58">
        <f>IF($B$4&gt;1000,$E$7/1.5,$E$7/3.5)</f>
        <v>1</v>
      </c>
      <c r="R3" s="8"/>
      <c r="S3" s="5"/>
      <c r="U3" s="5"/>
      <c r="V3" s="2"/>
      <c r="W3" s="8"/>
      <c r="X3" s="8"/>
      <c r="Y3" s="2"/>
      <c r="Z3" s="2"/>
      <c r="AA3" s="2"/>
      <c r="AB3" s="2"/>
      <c r="AC3" s="2"/>
      <c r="AD3" s="2"/>
      <c r="AE3" s="2"/>
    </row>
    <row r="4" spans="1:31" ht="15" customHeight="1">
      <c r="A4" s="3" t="s">
        <v>71</v>
      </c>
      <c r="B4" s="66">
        <v>1270</v>
      </c>
      <c r="C4" s="2"/>
      <c r="D4" s="11" t="s">
        <v>8</v>
      </c>
      <c r="E4" s="14">
        <v>500</v>
      </c>
      <c r="H4" s="2"/>
      <c r="I4" s="3" t="s">
        <v>9</v>
      </c>
      <c r="J4" s="13">
        <v>0.55</v>
      </c>
      <c r="N4" s="3" t="s">
        <v>10</v>
      </c>
      <c r="O4" s="49">
        <f>B7*1.518</f>
        <v>0.39468000000000003</v>
      </c>
      <c r="P4" s="2" t="s">
        <v>11</v>
      </c>
      <c r="Q4" s="1" t="s">
        <v>12</v>
      </c>
      <c r="R4" s="7"/>
      <c r="S4" s="5"/>
      <c r="U4" s="5"/>
      <c r="V4" s="2"/>
      <c r="W4" s="8"/>
      <c r="X4" s="8"/>
      <c r="Y4" s="2"/>
      <c r="Z4" s="2"/>
      <c r="AA4" s="2"/>
      <c r="AB4" s="2"/>
      <c r="AC4" s="2"/>
      <c r="AD4" s="2"/>
      <c r="AE4" s="2"/>
    </row>
    <row r="5" spans="1:31" ht="15" customHeight="1">
      <c r="A5" s="3" t="s">
        <v>13</v>
      </c>
      <c r="B5" s="15">
        <v>4</v>
      </c>
      <c r="C5" s="2"/>
      <c r="D5" s="11" t="s">
        <v>14</v>
      </c>
      <c r="E5" s="14">
        <v>0.093</v>
      </c>
      <c r="H5" s="2"/>
      <c r="I5" s="3" t="s">
        <v>15</v>
      </c>
      <c r="J5" s="13">
        <v>0.01</v>
      </c>
      <c r="K5" s="5"/>
      <c r="L5" s="2"/>
      <c r="M5" s="5"/>
      <c r="N5" s="3" t="s">
        <v>16</v>
      </c>
      <c r="O5" s="58">
        <v>0.7</v>
      </c>
      <c r="Q5" s="1" t="s">
        <v>17</v>
      </c>
      <c r="R5" s="7"/>
      <c r="U5" s="5"/>
      <c r="V5" s="2"/>
      <c r="W5" s="8"/>
      <c r="X5" s="8"/>
      <c r="Y5" s="2"/>
      <c r="Z5" s="2"/>
      <c r="AA5" s="2"/>
      <c r="AB5" s="2"/>
      <c r="AC5" s="2"/>
      <c r="AD5" s="2"/>
      <c r="AE5" s="2"/>
    </row>
    <row r="6" spans="1:31" ht="15" customHeight="1">
      <c r="A6" s="3" t="s">
        <v>18</v>
      </c>
      <c r="B6" s="14">
        <v>9</v>
      </c>
      <c r="C6" s="2"/>
      <c r="D6" s="11" t="s">
        <v>72</v>
      </c>
      <c r="E6" s="14">
        <v>1365</v>
      </c>
      <c r="H6" s="2"/>
      <c r="I6" s="3" t="s">
        <v>19</v>
      </c>
      <c r="J6" s="16">
        <v>480</v>
      </c>
      <c r="K6" s="6" t="s">
        <v>81</v>
      </c>
      <c r="M6" s="5"/>
      <c r="N6" s="11" t="s">
        <v>20</v>
      </c>
      <c r="O6" s="62">
        <f>(O7)</f>
        <v>1388.888888888889</v>
      </c>
      <c r="P6" s="8"/>
      <c r="Q6" s="5"/>
      <c r="U6" s="5"/>
      <c r="V6" s="2"/>
      <c r="W6" s="8"/>
      <c r="Z6" s="2"/>
      <c r="AA6" s="2"/>
      <c r="AB6" s="2"/>
      <c r="AC6" s="2"/>
      <c r="AD6" s="2"/>
      <c r="AE6" s="2"/>
    </row>
    <row r="7" spans="1:31" ht="15" customHeight="1">
      <c r="A7" s="3" t="s">
        <v>21</v>
      </c>
      <c r="B7" s="14">
        <v>0.26</v>
      </c>
      <c r="C7" s="2" t="s">
        <v>11</v>
      </c>
      <c r="D7" s="11" t="s">
        <v>22</v>
      </c>
      <c r="E7" s="14">
        <v>1.5</v>
      </c>
      <c r="H7" s="2"/>
      <c r="I7" s="3" t="s">
        <v>23</v>
      </c>
      <c r="J7" s="15">
        <v>7.037</v>
      </c>
      <c r="K7" s="5"/>
      <c r="M7" s="5"/>
      <c r="N7" s="11" t="s">
        <v>24</v>
      </c>
      <c r="O7" s="63">
        <f>1/((1/$E$8)-$J$9*10^-6)</f>
        <v>1388.888888888889</v>
      </c>
      <c r="P7" s="8"/>
      <c r="Q7" s="5"/>
      <c r="U7" s="5"/>
      <c r="V7" s="2"/>
      <c r="Z7" s="2"/>
      <c r="AA7" s="2"/>
      <c r="AB7" s="2"/>
      <c r="AC7" s="2"/>
      <c r="AD7" s="2"/>
      <c r="AE7" s="2"/>
    </row>
    <row r="8" spans="1:31" ht="15" customHeight="1">
      <c r="A8" s="3" t="s">
        <v>25</v>
      </c>
      <c r="B8" s="14">
        <v>-120</v>
      </c>
      <c r="C8" s="2"/>
      <c r="D8" s="3" t="s">
        <v>26</v>
      </c>
      <c r="E8" s="18">
        <v>1250</v>
      </c>
      <c r="F8" s="2"/>
      <c r="G8" s="5"/>
      <c r="H8" s="5"/>
      <c r="I8" s="11" t="s">
        <v>27</v>
      </c>
      <c r="J8" s="16">
        <f>2.5*10^5/$E$8</f>
        <v>200</v>
      </c>
      <c r="N8" s="3" t="s">
        <v>28</v>
      </c>
      <c r="O8" s="64">
        <f>(10^-6)*$J$8*$O$7</f>
        <v>0.27777777777777773</v>
      </c>
      <c r="P8" s="8"/>
      <c r="Q8" s="5"/>
      <c r="U8" s="5"/>
      <c r="V8" s="2"/>
      <c r="W8" s="8"/>
      <c r="X8" s="8"/>
      <c r="Y8" s="2"/>
      <c r="Z8" s="2"/>
      <c r="AA8" s="2"/>
      <c r="AB8" s="2"/>
      <c r="AC8" s="2"/>
      <c r="AD8" s="2"/>
      <c r="AE8" s="2"/>
    </row>
    <row r="9" spans="1:31" ht="15" customHeight="1">
      <c r="A9" s="3" t="s">
        <v>29</v>
      </c>
      <c r="B9" s="14">
        <v>0.8</v>
      </c>
      <c r="C9" s="2"/>
      <c r="D9" s="11" t="s">
        <v>30</v>
      </c>
      <c r="E9" s="14">
        <v>1000</v>
      </c>
      <c r="F9" s="2"/>
      <c r="G9" s="5"/>
      <c r="I9" s="11" t="s">
        <v>31</v>
      </c>
      <c r="J9" s="14">
        <v>80</v>
      </c>
      <c r="K9" s="5"/>
      <c r="M9" s="5"/>
      <c r="N9" s="3" t="s">
        <v>32</v>
      </c>
      <c r="O9" s="65">
        <f>(O8)</f>
        <v>0.27777777777777773</v>
      </c>
      <c r="P9" s="8"/>
      <c r="Q9" s="5"/>
      <c r="U9" s="5"/>
      <c r="V9" s="2"/>
      <c r="X9" s="8"/>
      <c r="Y9" s="2"/>
      <c r="Z9" s="2"/>
      <c r="AA9" s="2"/>
      <c r="AB9" s="2"/>
      <c r="AC9" s="2"/>
      <c r="AD9" s="2"/>
      <c r="AE9" s="2"/>
    </row>
    <row r="10" spans="1:31" ht="15" customHeight="1">
      <c r="A10" s="3" t="s">
        <v>33</v>
      </c>
      <c r="B10" s="14">
        <v>0.5</v>
      </c>
      <c r="C10" s="2"/>
      <c r="D10" s="11" t="s">
        <v>34</v>
      </c>
      <c r="E10" s="14">
        <v>7.5</v>
      </c>
      <c r="F10" s="2"/>
      <c r="G10" s="2"/>
      <c r="I10" s="11" t="s">
        <v>35</v>
      </c>
      <c r="J10" s="19">
        <v>-11.5</v>
      </c>
      <c r="M10" s="5"/>
      <c r="N10" s="3" t="s">
        <v>36</v>
      </c>
      <c r="O10" s="51">
        <f>S34-R34</f>
        <v>0.39282732279836186</v>
      </c>
      <c r="P10" s="5" t="s">
        <v>37</v>
      </c>
      <c r="Q10" s="5"/>
      <c r="S10" s="5"/>
      <c r="U10" s="5"/>
      <c r="V10" s="2"/>
      <c r="W10" s="20" t="s">
        <v>38</v>
      </c>
      <c r="X10" s="8"/>
      <c r="Z10" s="2"/>
      <c r="AA10" s="2"/>
      <c r="AB10" s="2"/>
      <c r="AC10" s="2"/>
      <c r="AD10" s="2"/>
      <c r="AE10" s="2"/>
    </row>
    <row r="11" spans="1:31" ht="15" customHeight="1">
      <c r="A11" s="2"/>
      <c r="B11" s="2"/>
      <c r="C11" s="2"/>
      <c r="D11" s="11" t="s">
        <v>39</v>
      </c>
      <c r="E11" s="14">
        <v>1.5</v>
      </c>
      <c r="F11" s="2"/>
      <c r="G11" s="3"/>
      <c r="I11" s="3" t="s">
        <v>40</v>
      </c>
      <c r="J11" s="21">
        <v>9</v>
      </c>
      <c r="K11" s="22"/>
      <c r="L11" s="22"/>
      <c r="M11" s="22"/>
      <c r="N11" s="22"/>
      <c r="O11" s="23"/>
      <c r="P11" s="22"/>
      <c r="Q11" s="23"/>
      <c r="R11" s="22"/>
      <c r="S11" s="22"/>
      <c r="U11" s="22"/>
      <c r="V11" s="2"/>
      <c r="W11" s="20" t="s">
        <v>41</v>
      </c>
      <c r="X11" s="8" t="s">
        <v>42</v>
      </c>
      <c r="Z11" s="24" t="s">
        <v>43</v>
      </c>
      <c r="AA11" s="2"/>
      <c r="AB11" s="2"/>
      <c r="AC11" s="2"/>
      <c r="AD11" s="2"/>
      <c r="AE11" s="2"/>
    </row>
    <row r="12" spans="1:31" ht="15" customHeight="1">
      <c r="A12" s="2"/>
      <c r="B12" s="8" t="s">
        <v>73</v>
      </c>
      <c r="C12" s="8" t="s">
        <v>51</v>
      </c>
      <c r="D12" s="2"/>
      <c r="E12" s="2"/>
      <c r="F12" s="2"/>
      <c r="G12" s="3"/>
      <c r="H12" s="25" t="s">
        <v>44</v>
      </c>
      <c r="I12" s="11" t="s">
        <v>44</v>
      </c>
      <c r="J12" s="2"/>
      <c r="K12" s="5"/>
      <c r="L12" s="11" t="s">
        <v>44</v>
      </c>
      <c r="M12" s="11"/>
      <c r="N12" s="11" t="s">
        <v>44</v>
      </c>
      <c r="O12" s="11" t="s">
        <v>44</v>
      </c>
      <c r="P12" s="11" t="s">
        <v>44</v>
      </c>
      <c r="Q12" s="26" t="s">
        <v>44</v>
      </c>
      <c r="R12" s="8" t="s">
        <v>44</v>
      </c>
      <c r="S12" s="5" t="s">
        <v>44</v>
      </c>
      <c r="T12" s="4" t="s">
        <v>44</v>
      </c>
      <c r="U12" s="4" t="s">
        <v>45</v>
      </c>
      <c r="V12" s="27" t="s">
        <v>44</v>
      </c>
      <c r="W12" s="28" t="s">
        <v>46</v>
      </c>
      <c r="X12" s="8" t="s">
        <v>47</v>
      </c>
      <c r="Y12" s="24" t="s">
        <v>48</v>
      </c>
      <c r="Z12" s="8" t="s">
        <v>49</v>
      </c>
      <c r="AA12" s="2"/>
      <c r="AB12" s="2"/>
      <c r="AC12" s="2"/>
      <c r="AD12" s="2"/>
      <c r="AE12" s="2"/>
    </row>
    <row r="13" spans="1:31" ht="15" customHeight="1">
      <c r="A13" s="3" t="s">
        <v>50</v>
      </c>
      <c r="B13" s="8" t="s">
        <v>74</v>
      </c>
      <c r="C13" s="8" t="s">
        <v>74</v>
      </c>
      <c r="D13" s="29" t="s">
        <v>75</v>
      </c>
      <c r="E13" s="29" t="s">
        <v>76</v>
      </c>
      <c r="F13" s="2" t="s">
        <v>77</v>
      </c>
      <c r="G13" s="3" t="s">
        <v>52</v>
      </c>
      <c r="H13" s="25" t="s">
        <v>53</v>
      </c>
      <c r="I13" s="11" t="s">
        <v>54</v>
      </c>
      <c r="J13" s="8" t="s">
        <v>55</v>
      </c>
      <c r="K13" s="5" t="s">
        <v>56</v>
      </c>
      <c r="L13" s="11" t="s">
        <v>57</v>
      </c>
      <c r="M13" s="11" t="s">
        <v>58</v>
      </c>
      <c r="N13" s="11" t="s">
        <v>59</v>
      </c>
      <c r="O13" s="11" t="s">
        <v>60</v>
      </c>
      <c r="P13" s="11" t="s">
        <v>61</v>
      </c>
      <c r="Q13" s="26" t="s">
        <v>62</v>
      </c>
      <c r="R13" s="8" t="s">
        <v>63</v>
      </c>
      <c r="S13" s="30" t="s">
        <v>64</v>
      </c>
      <c r="T13" s="4" t="s">
        <v>65</v>
      </c>
      <c r="U13" s="5" t="s">
        <v>66</v>
      </c>
      <c r="V13" s="27" t="s">
        <v>47</v>
      </c>
      <c r="W13" s="8" t="s">
        <v>67</v>
      </c>
      <c r="X13" s="8" t="s">
        <v>68</v>
      </c>
      <c r="Y13" s="8" t="s">
        <v>69</v>
      </c>
      <c r="Z13" s="8" t="s">
        <v>69</v>
      </c>
      <c r="AA13" s="2"/>
      <c r="AB13" s="2"/>
      <c r="AC13" s="2"/>
      <c r="AD13" s="2"/>
      <c r="AE13" s="2"/>
    </row>
    <row r="14" spans="1:31" s="47" customFormat="1" ht="15" customHeight="1">
      <c r="A14" s="37">
        <f>$J$4</f>
        <v>0.55</v>
      </c>
      <c r="B14" s="40">
        <f aca="true" t="shared" si="0" ref="B14:B34">0.25*$E$5*$B$4*(1-($E$6/$B$4)^4)</f>
        <v>-9.8766895800401</v>
      </c>
      <c r="C14" s="68">
        <f aca="true" t="shared" si="1" ref="C14:C34">0.7*$E$5*$B$5</f>
        <v>0.26039999999999996</v>
      </c>
      <c r="D14" s="39">
        <f aca="true" t="shared" si="2" ref="D14:D34">(0.187/(A14*$B$5))*(10^6/(B14^2+C14^2)^(0.5))</f>
        <v>8603.132876379614</v>
      </c>
      <c r="E14" s="39">
        <f aca="true" t="shared" si="3" ref="E14:E34">$E$4/A14</f>
        <v>909.090909090909</v>
      </c>
      <c r="F14" s="40">
        <f aca="true" t="shared" si="4" ref="F14:F34">SQRT(($J$6/D14)^2+($J$6/E14)^2+$O$4^2)</f>
        <v>0.6615657423006834</v>
      </c>
      <c r="G14" s="37">
        <f aca="true" t="shared" si="5" ref="G14:G34">SQRT(F14^2+(350/$E$9)^2)</f>
        <v>0.7484445412893692</v>
      </c>
      <c r="H14" s="41">
        <f aca="true" t="shared" si="6" ref="H14:H34">-10*LOG10(1-1.425*EXP(-1.28*($O$2/G14)^2))</f>
        <v>2.4862977876304257</v>
      </c>
      <c r="I14" s="40">
        <f aca="true" t="shared" si="7" ref="I14:I34">A14*$O$3*((1/(0.00094*$B$4)^4)+1.05)</f>
        <v>0.8482923500564601</v>
      </c>
      <c r="J14" s="38">
        <f aca="true" t="shared" si="8" ref="J14:J34">(10^-6)*3.14*$O$6*B14*A14*$B$5</f>
        <v>-0.0947613494707181</v>
      </c>
      <c r="K14" s="40">
        <f aca="true" t="shared" si="9" ref="K14:K34">($B$9/SQRT(2))*(1-EXP(-1*J14^2))</f>
        <v>0.005056953985005696</v>
      </c>
      <c r="L14" s="40">
        <f aca="true" t="shared" si="10" ref="L14:L34">10*LOG10(1/SQRT(1-($J$7*K14)^2))</f>
        <v>0.0027515825754952086</v>
      </c>
      <c r="M14" s="40">
        <f aca="true" t="shared" si="11" ref="M14:M34">$O$5*10^6*($J$6/G14)*10^($B$8/10)</f>
        <v>0.0004489310583001408</v>
      </c>
      <c r="N14" s="40">
        <f aca="true" t="shared" si="12" ref="N14:N34">10*LOG10(1/SQRT(1-($J$7^2)*M14))</f>
        <v>0.04881819791398981</v>
      </c>
      <c r="O14" s="40">
        <f aca="true" t="shared" si="13" ref="O14:O34">Y14-Z14</f>
        <v>0</v>
      </c>
      <c r="P14" s="40">
        <f aca="true" t="shared" si="14" ref="P14:P34">$B$10</f>
        <v>0.5</v>
      </c>
      <c r="Q14" s="42">
        <f aca="true" t="shared" si="15" ref="Q14:Q34">-10*LOG10((2*SIN(3.1416*$O$9))/(3.1416*$O$9*(1-$O$9^2))-1)</f>
        <v>0.4458340956509569</v>
      </c>
      <c r="R14" s="43">
        <f aca="true" t="shared" si="16" ref="R14:R34">$E$10-$E$11</f>
        <v>6</v>
      </c>
      <c r="S14" s="44">
        <f aca="true" t="shared" si="17" ref="S14:S34">H14+I14+L14+N14+O14+P14+Q14</f>
        <v>4.331994013827328</v>
      </c>
      <c r="T14" s="40">
        <f aca="true" t="shared" si="18" ref="T14:T34">$E$11+I14</f>
        <v>2.34829235005646</v>
      </c>
      <c r="U14" s="40">
        <f aca="true" t="shared" si="19" ref="U14:U34">S14-I14</f>
        <v>3.4837016637708675</v>
      </c>
      <c r="V14" s="45">
        <f aca="true" t="shared" si="20" ref="V14:V34">R14-S14</f>
        <v>1.6680059861726724</v>
      </c>
      <c r="W14" s="46">
        <f aca="true" t="shared" si="21" ref="W14:W34">$J$10-T14-Q14-O14</f>
        <v>-14.294126445707418</v>
      </c>
      <c r="X14" s="43"/>
      <c r="Y14" s="40">
        <f aca="true" t="shared" si="22" ref="Y14:Y34">10*LOG10((1+10^(-($B$6/10)))/(1-10^(-($B$6/10))))</f>
        <v>1.0993211590790997</v>
      </c>
      <c r="Z14" s="40">
        <f aca="true" t="shared" si="23" ref="Z14:Z34">10*LOG10((1+10^(-($J$11/10)))/(1-10^(-($J$11/10))))</f>
        <v>1.0993211590790997</v>
      </c>
      <c r="AA14" s="38"/>
      <c r="AB14" s="38"/>
      <c r="AC14" s="38"/>
      <c r="AD14" s="38"/>
      <c r="AE14" s="38"/>
    </row>
    <row r="15" spans="1:31" s="59" customFormat="1" ht="15" customHeight="1">
      <c r="A15" s="48">
        <f aca="true" t="shared" si="24" ref="A15:A34">A14+$J$5</f>
        <v>0.56</v>
      </c>
      <c r="B15" s="51">
        <f t="shared" si="0"/>
        <v>-9.8766895800401</v>
      </c>
      <c r="C15" s="69">
        <f t="shared" si="1"/>
        <v>0.26039999999999996</v>
      </c>
      <c r="D15" s="50">
        <f t="shared" si="2"/>
        <v>8449.505503587121</v>
      </c>
      <c r="E15" s="50">
        <f t="shared" si="3"/>
        <v>892.8571428571428</v>
      </c>
      <c r="F15" s="51">
        <f t="shared" si="4"/>
        <v>0.6693378951403807</v>
      </c>
      <c r="G15" s="48">
        <f t="shared" si="5"/>
        <v>0.7553232538926332</v>
      </c>
      <c r="H15" s="52">
        <f t="shared" si="6"/>
        <v>2.5597662479805026</v>
      </c>
      <c r="I15" s="51">
        <f t="shared" si="7"/>
        <v>0.8637158473302139</v>
      </c>
      <c r="J15" s="49">
        <f t="shared" si="8"/>
        <v>-0.09648428309745843</v>
      </c>
      <c r="K15" s="51">
        <f t="shared" si="9"/>
        <v>0.005241652614849893</v>
      </c>
      <c r="L15" s="51">
        <f t="shared" si="10"/>
        <v>0.002956388425270592</v>
      </c>
      <c r="M15" s="51">
        <f t="shared" si="11"/>
        <v>0.00044484265282233886</v>
      </c>
      <c r="N15" s="51">
        <f t="shared" si="12"/>
        <v>0.04836862300968621</v>
      </c>
      <c r="O15" s="51">
        <f t="shared" si="13"/>
        <v>0</v>
      </c>
      <c r="P15" s="51">
        <f t="shared" si="14"/>
        <v>0.5</v>
      </c>
      <c r="Q15" s="53">
        <f t="shared" si="15"/>
        <v>0.4458340956509569</v>
      </c>
      <c r="R15" s="54">
        <f t="shared" si="16"/>
        <v>6</v>
      </c>
      <c r="S15" s="55">
        <f t="shared" si="17"/>
        <v>4.42064120239663</v>
      </c>
      <c r="T15" s="51">
        <f t="shared" si="18"/>
        <v>2.363715847330214</v>
      </c>
      <c r="U15" s="51">
        <f t="shared" si="19"/>
        <v>3.556925355066416</v>
      </c>
      <c r="V15" s="56">
        <f t="shared" si="20"/>
        <v>1.57935879760337</v>
      </c>
      <c r="W15" s="57">
        <f t="shared" si="21"/>
        <v>-14.309549942981171</v>
      </c>
      <c r="X15" s="58">
        <f aca="true" t="shared" si="25" ref="X15:X33">(V16-V14)/2</f>
        <v>-0.08938326193640878</v>
      </c>
      <c r="Y15" s="51">
        <f t="shared" si="22"/>
        <v>1.0993211590790997</v>
      </c>
      <c r="Z15" s="51">
        <f t="shared" si="23"/>
        <v>1.0993211590790997</v>
      </c>
      <c r="AA15" s="49"/>
      <c r="AB15" s="49"/>
      <c r="AC15" s="49"/>
      <c r="AD15" s="49"/>
      <c r="AE15" s="49"/>
    </row>
    <row r="16" spans="1:31" s="59" customFormat="1" ht="15" customHeight="1">
      <c r="A16" s="48">
        <f t="shared" si="24"/>
        <v>0.5700000000000001</v>
      </c>
      <c r="B16" s="51">
        <f t="shared" si="0"/>
        <v>-9.8766895800401</v>
      </c>
      <c r="C16" s="69">
        <f t="shared" si="1"/>
        <v>0.26039999999999996</v>
      </c>
      <c r="D16" s="50">
        <f t="shared" si="2"/>
        <v>8301.268564927697</v>
      </c>
      <c r="E16" s="50">
        <f t="shared" si="3"/>
        <v>877.1929824561403</v>
      </c>
      <c r="F16" s="51">
        <f t="shared" si="4"/>
        <v>0.6771584618764817</v>
      </c>
      <c r="G16" s="48">
        <f t="shared" si="5"/>
        <v>0.7622621481425681</v>
      </c>
      <c r="H16" s="52">
        <f t="shared" si="6"/>
        <v>2.6346912919683394</v>
      </c>
      <c r="I16" s="51">
        <f t="shared" si="7"/>
        <v>0.8791393446039678</v>
      </c>
      <c r="J16" s="49">
        <f t="shared" si="8"/>
        <v>-0.09820721672419876</v>
      </c>
      <c r="K16" s="51">
        <f t="shared" si="9"/>
        <v>0.0054296166447927756</v>
      </c>
      <c r="L16" s="51">
        <f t="shared" si="10"/>
        <v>0.003172378164503951</v>
      </c>
      <c r="M16" s="51">
        <f t="shared" si="11"/>
        <v>0.00044079323736426294</v>
      </c>
      <c r="N16" s="51">
        <f t="shared" si="12"/>
        <v>0.04792342731237715</v>
      </c>
      <c r="O16" s="51">
        <f t="shared" si="13"/>
        <v>0</v>
      </c>
      <c r="P16" s="51">
        <f t="shared" si="14"/>
        <v>0.5</v>
      </c>
      <c r="Q16" s="53">
        <f t="shared" si="15"/>
        <v>0.4458340956509569</v>
      </c>
      <c r="R16" s="54">
        <f t="shared" si="16"/>
        <v>6</v>
      </c>
      <c r="S16" s="55">
        <f t="shared" si="17"/>
        <v>4.510760537700145</v>
      </c>
      <c r="T16" s="51">
        <f t="shared" si="18"/>
        <v>2.379139344603968</v>
      </c>
      <c r="U16" s="51">
        <f t="shared" si="19"/>
        <v>3.6316211930961773</v>
      </c>
      <c r="V16" s="56">
        <f t="shared" si="20"/>
        <v>1.4892394622998548</v>
      </c>
      <c r="W16" s="57">
        <f t="shared" si="21"/>
        <v>-14.324973440254924</v>
      </c>
      <c r="X16" s="58">
        <f t="shared" si="25"/>
        <v>-0.0908565649428712</v>
      </c>
      <c r="Y16" s="51">
        <f t="shared" si="22"/>
        <v>1.0993211590790997</v>
      </c>
      <c r="Z16" s="51">
        <f t="shared" si="23"/>
        <v>1.0993211590790997</v>
      </c>
      <c r="AA16" s="49"/>
      <c r="AB16" s="49"/>
      <c r="AC16" s="49"/>
      <c r="AD16" s="49"/>
      <c r="AE16" s="49"/>
    </row>
    <row r="17" spans="1:26" s="59" customFormat="1" ht="15" customHeight="1">
      <c r="A17" s="48">
        <f t="shared" si="24"/>
        <v>0.5800000000000001</v>
      </c>
      <c r="B17" s="51">
        <f t="shared" si="0"/>
        <v>-9.8766895800401</v>
      </c>
      <c r="C17" s="69">
        <f t="shared" si="1"/>
        <v>0.26039999999999996</v>
      </c>
      <c r="D17" s="50">
        <f t="shared" si="2"/>
        <v>8158.143244842737</v>
      </c>
      <c r="E17" s="50">
        <f t="shared" si="3"/>
        <v>862.0689655172413</v>
      </c>
      <c r="F17" s="51">
        <f t="shared" si="4"/>
        <v>0.6850257843656373</v>
      </c>
      <c r="G17" s="48">
        <f t="shared" si="5"/>
        <v>0.769259595485007</v>
      </c>
      <c r="H17" s="52">
        <f t="shared" si="6"/>
        <v>2.7110747487644997</v>
      </c>
      <c r="I17" s="51">
        <f t="shared" si="7"/>
        <v>0.8945628418777216</v>
      </c>
      <c r="J17" s="49">
        <f t="shared" si="8"/>
        <v>-0.09993015035093909</v>
      </c>
      <c r="K17" s="51">
        <f t="shared" si="9"/>
        <v>0.005620842748166405</v>
      </c>
      <c r="L17" s="51">
        <f t="shared" si="10"/>
        <v>0.003399947718614408</v>
      </c>
      <c r="M17" s="51">
        <f t="shared" si="11"/>
        <v>0.0004367836319131734</v>
      </c>
      <c r="N17" s="51">
        <f t="shared" si="12"/>
        <v>0.04748269827057969</v>
      </c>
      <c r="O17" s="51">
        <f t="shared" si="13"/>
        <v>0</v>
      </c>
      <c r="P17" s="51">
        <f t="shared" si="14"/>
        <v>0.5</v>
      </c>
      <c r="Q17" s="53">
        <f t="shared" si="15"/>
        <v>0.4458340956509569</v>
      </c>
      <c r="R17" s="54">
        <f t="shared" si="16"/>
        <v>6</v>
      </c>
      <c r="S17" s="55">
        <f t="shared" si="17"/>
        <v>4.602354332282372</v>
      </c>
      <c r="T17" s="51">
        <f t="shared" si="18"/>
        <v>2.394562841877722</v>
      </c>
      <c r="U17" s="51">
        <f t="shared" si="19"/>
        <v>3.7077914904046505</v>
      </c>
      <c r="V17" s="56">
        <f t="shared" si="20"/>
        <v>1.3976456677176277</v>
      </c>
      <c r="W17" s="57">
        <f t="shared" si="21"/>
        <v>-14.340396937528679</v>
      </c>
      <c r="X17" s="58">
        <f t="shared" si="25"/>
        <v>-0.09233259874589761</v>
      </c>
      <c r="Y17" s="51">
        <f t="shared" si="22"/>
        <v>1.0993211590790997</v>
      </c>
      <c r="Z17" s="51">
        <f t="shared" si="23"/>
        <v>1.0993211590790997</v>
      </c>
    </row>
    <row r="18" spans="1:26" s="59" customFormat="1" ht="15" customHeight="1">
      <c r="A18" s="48">
        <f t="shared" si="24"/>
        <v>0.5900000000000001</v>
      </c>
      <c r="B18" s="51">
        <f t="shared" si="0"/>
        <v>-9.8766895800401</v>
      </c>
      <c r="C18" s="69">
        <f t="shared" si="1"/>
        <v>0.26039999999999996</v>
      </c>
      <c r="D18" s="50">
        <f t="shared" si="2"/>
        <v>8019.869630523367</v>
      </c>
      <c r="E18" s="50">
        <f t="shared" si="3"/>
        <v>847.4576271186439</v>
      </c>
      <c r="F18" s="51">
        <f t="shared" si="4"/>
        <v>0.6929382700756667</v>
      </c>
      <c r="G18" s="48">
        <f t="shared" si="5"/>
        <v>0.7763140125847643</v>
      </c>
      <c r="H18" s="52">
        <f t="shared" si="6"/>
        <v>2.7889192891801877</v>
      </c>
      <c r="I18" s="51">
        <f t="shared" si="7"/>
        <v>0.9099863391514754</v>
      </c>
      <c r="J18" s="49">
        <f t="shared" si="8"/>
        <v>-0.10165308397767941</v>
      </c>
      <c r="K18" s="51">
        <f t="shared" si="9"/>
        <v>0.005815327541337501</v>
      </c>
      <c r="L18" s="51">
        <f t="shared" si="10"/>
        <v>0.0036394996215551533</v>
      </c>
      <c r="M18" s="51">
        <f t="shared" si="11"/>
        <v>0.0004328145499799449</v>
      </c>
      <c r="N18" s="51">
        <f t="shared" si="12"/>
        <v>0.04704651158776562</v>
      </c>
      <c r="O18" s="51">
        <f t="shared" si="13"/>
        <v>0</v>
      </c>
      <c r="P18" s="51">
        <f t="shared" si="14"/>
        <v>0.5</v>
      </c>
      <c r="Q18" s="53">
        <f t="shared" si="15"/>
        <v>0.4458340956509569</v>
      </c>
      <c r="R18" s="54">
        <f t="shared" si="16"/>
        <v>6</v>
      </c>
      <c r="S18" s="55">
        <f t="shared" si="17"/>
        <v>4.69542573519194</v>
      </c>
      <c r="T18" s="51">
        <f t="shared" si="18"/>
        <v>2.4099863391514753</v>
      </c>
      <c r="U18" s="51">
        <f t="shared" si="19"/>
        <v>3.785439396040465</v>
      </c>
      <c r="V18" s="56">
        <f t="shared" si="20"/>
        <v>1.3045742648080596</v>
      </c>
      <c r="W18" s="57">
        <f t="shared" si="21"/>
        <v>-14.355820434802432</v>
      </c>
      <c r="X18" s="58">
        <f t="shared" si="25"/>
        <v>-0.09381224608740801</v>
      </c>
      <c r="Y18" s="51">
        <f t="shared" si="22"/>
        <v>1.0993211590790997</v>
      </c>
      <c r="Z18" s="51">
        <f t="shared" si="23"/>
        <v>1.0993211590790997</v>
      </c>
    </row>
    <row r="19" spans="1:26" s="47" customFormat="1" ht="15" customHeight="1">
      <c r="A19" s="37">
        <f t="shared" si="24"/>
        <v>0.6000000000000001</v>
      </c>
      <c r="B19" s="40">
        <f t="shared" si="0"/>
        <v>-9.8766895800401</v>
      </c>
      <c r="C19" s="68">
        <f t="shared" si="1"/>
        <v>0.26039999999999996</v>
      </c>
      <c r="D19" s="39">
        <f t="shared" si="2"/>
        <v>7886.205136681312</v>
      </c>
      <c r="E19" s="39">
        <f t="shared" si="3"/>
        <v>833.3333333333333</v>
      </c>
      <c r="F19" s="40">
        <f t="shared" si="4"/>
        <v>0.7008943894482428</v>
      </c>
      <c r="G19" s="37">
        <f t="shared" si="5"/>
        <v>0.7834238604740252</v>
      </c>
      <c r="H19" s="41">
        <f t="shared" si="6"/>
        <v>2.868228517407538</v>
      </c>
      <c r="I19" s="40">
        <f t="shared" si="7"/>
        <v>0.9254098364252292</v>
      </c>
      <c r="J19" s="38">
        <f t="shared" si="8"/>
        <v>-0.10337601760441975</v>
      </c>
      <c r="K19" s="40">
        <f t="shared" si="9"/>
        <v>0.006013067583807364</v>
      </c>
      <c r="L19" s="40">
        <f t="shared" si="10"/>
        <v>0.0038914430056106513</v>
      </c>
      <c r="M19" s="40">
        <f t="shared" si="11"/>
        <v>0.0004288866052620569</v>
      </c>
      <c r="N19" s="40">
        <f t="shared" si="12"/>
        <v>0.0466149319678537</v>
      </c>
      <c r="O19" s="40">
        <f t="shared" si="13"/>
        <v>0</v>
      </c>
      <c r="P19" s="40">
        <f t="shared" si="14"/>
        <v>0.5</v>
      </c>
      <c r="Q19" s="42">
        <f t="shared" si="15"/>
        <v>0.4458340956509569</v>
      </c>
      <c r="R19" s="43">
        <f t="shared" si="16"/>
        <v>6</v>
      </c>
      <c r="S19" s="44">
        <f t="shared" si="17"/>
        <v>4.789978824457188</v>
      </c>
      <c r="T19" s="40">
        <f t="shared" si="18"/>
        <v>2.4254098364252292</v>
      </c>
      <c r="U19" s="40">
        <f t="shared" si="19"/>
        <v>3.864568988031959</v>
      </c>
      <c r="V19" s="45">
        <f t="shared" si="20"/>
        <v>1.2100211755428116</v>
      </c>
      <c r="W19" s="46">
        <f t="shared" si="21"/>
        <v>-14.371243932076187</v>
      </c>
      <c r="X19" s="60">
        <f t="shared" si="25"/>
        <v>-0.09529648255111356</v>
      </c>
      <c r="Y19" s="40">
        <f t="shared" si="22"/>
        <v>1.0993211590790997</v>
      </c>
      <c r="Z19" s="40">
        <f t="shared" si="23"/>
        <v>1.0993211590790997</v>
      </c>
    </row>
    <row r="20" spans="1:26" s="59" customFormat="1" ht="15" customHeight="1">
      <c r="A20" s="48">
        <f t="shared" si="24"/>
        <v>0.6100000000000001</v>
      </c>
      <c r="B20" s="51">
        <f t="shared" si="0"/>
        <v>-9.8766895800401</v>
      </c>
      <c r="C20" s="69">
        <f t="shared" si="1"/>
        <v>0.26039999999999996</v>
      </c>
      <c r="D20" s="50">
        <f t="shared" si="2"/>
        <v>7756.923085260307</v>
      </c>
      <c r="E20" s="50">
        <f t="shared" si="3"/>
        <v>819.6721311475409</v>
      </c>
      <c r="F20" s="51">
        <f t="shared" si="4"/>
        <v>0.7088926733430521</v>
      </c>
      <c r="G20" s="48">
        <f t="shared" si="5"/>
        <v>0.7905876436673287</v>
      </c>
      <c r="H20" s="52">
        <f t="shared" si="6"/>
        <v>2.9490070635216865</v>
      </c>
      <c r="I20" s="51">
        <f t="shared" si="7"/>
        <v>0.9408333336989831</v>
      </c>
      <c r="J20" s="49">
        <f t="shared" si="8"/>
        <v>-0.10509895123116007</v>
      </c>
      <c r="K20" s="51">
        <f t="shared" si="9"/>
        <v>0.0062140593783134275</v>
      </c>
      <c r="L20" s="51">
        <f t="shared" si="10"/>
        <v>0.004156193591929783</v>
      </c>
      <c r="M20" s="51">
        <f t="shared" si="11"/>
        <v>0.0004250003180436569</v>
      </c>
      <c r="N20" s="51">
        <f t="shared" si="12"/>
        <v>0.04618801383061076</v>
      </c>
      <c r="O20" s="51">
        <f t="shared" si="13"/>
        <v>0</v>
      </c>
      <c r="P20" s="51">
        <f t="shared" si="14"/>
        <v>0.5</v>
      </c>
      <c r="Q20" s="53">
        <f t="shared" si="15"/>
        <v>0.4458340956509569</v>
      </c>
      <c r="R20" s="54">
        <f t="shared" si="16"/>
        <v>6</v>
      </c>
      <c r="S20" s="55">
        <f t="shared" si="17"/>
        <v>4.8860187002941675</v>
      </c>
      <c r="T20" s="51">
        <f t="shared" si="18"/>
        <v>2.440833333698983</v>
      </c>
      <c r="U20" s="51">
        <f t="shared" si="19"/>
        <v>3.9451853665951844</v>
      </c>
      <c r="V20" s="56">
        <f t="shared" si="20"/>
        <v>1.1139812997058325</v>
      </c>
      <c r="W20" s="57">
        <f t="shared" si="21"/>
        <v>-14.38666742934994</v>
      </c>
      <c r="X20" s="58">
        <f t="shared" si="25"/>
        <v>-0.09678637744588459</v>
      </c>
      <c r="Y20" s="51">
        <f t="shared" si="22"/>
        <v>1.0993211590790997</v>
      </c>
      <c r="Z20" s="51">
        <f t="shared" si="23"/>
        <v>1.0993211590790997</v>
      </c>
    </row>
    <row r="21" spans="1:26" s="59" customFormat="1" ht="15" customHeight="1">
      <c r="A21" s="48">
        <f t="shared" si="24"/>
        <v>0.6200000000000001</v>
      </c>
      <c r="B21" s="51">
        <f t="shared" si="0"/>
        <v>-9.8766895800401</v>
      </c>
      <c r="C21" s="69">
        <f t="shared" si="1"/>
        <v>0.26039999999999996</v>
      </c>
      <c r="D21" s="50">
        <f t="shared" si="2"/>
        <v>7631.8114225948175</v>
      </c>
      <c r="E21" s="50">
        <f t="shared" si="3"/>
        <v>806.4516129032256</v>
      </c>
      <c r="F21" s="51">
        <f t="shared" si="4"/>
        <v>0.716931710565072</v>
      </c>
      <c r="G21" s="48">
        <f t="shared" si="5"/>
        <v>0.7978039092494847</v>
      </c>
      <c r="H21" s="52">
        <f t="shared" si="6"/>
        <v>3.0312606770469235</v>
      </c>
      <c r="I21" s="51">
        <f t="shared" si="7"/>
        <v>0.956256830972737</v>
      </c>
      <c r="J21" s="49">
        <f t="shared" si="8"/>
        <v>-0.10682188485790041</v>
      </c>
      <c r="K21" s="51">
        <f t="shared" si="9"/>
        <v>0.0064182993709321935</v>
      </c>
      <c r="L21" s="51">
        <f t="shared" si="10"/>
        <v>0.004434173681821036</v>
      </c>
      <c r="M21" s="51">
        <f t="shared" si="11"/>
        <v>0.0004211561213282147</v>
      </c>
      <c r="N21" s="51">
        <f t="shared" si="12"/>
        <v>0.045765801996519084</v>
      </c>
      <c r="O21" s="51">
        <f t="shared" si="13"/>
        <v>0</v>
      </c>
      <c r="P21" s="51">
        <f t="shared" si="14"/>
        <v>0.5</v>
      </c>
      <c r="Q21" s="53">
        <f t="shared" si="15"/>
        <v>0.4458340956509569</v>
      </c>
      <c r="R21" s="54">
        <f t="shared" si="16"/>
        <v>6</v>
      </c>
      <c r="S21" s="55">
        <f t="shared" si="17"/>
        <v>4.9835515793489575</v>
      </c>
      <c r="T21" s="51">
        <f t="shared" si="18"/>
        <v>2.456256830972737</v>
      </c>
      <c r="U21" s="51">
        <f t="shared" si="19"/>
        <v>4.027294748376221</v>
      </c>
      <c r="V21" s="56">
        <f t="shared" si="20"/>
        <v>1.0164484206510425</v>
      </c>
      <c r="W21" s="57">
        <f t="shared" si="21"/>
        <v>-14.402090926623695</v>
      </c>
      <c r="X21" s="58">
        <f t="shared" si="25"/>
        <v>-0.09828309501760035</v>
      </c>
      <c r="Y21" s="51">
        <f t="shared" si="22"/>
        <v>1.0993211590790997</v>
      </c>
      <c r="Z21" s="51">
        <f t="shared" si="23"/>
        <v>1.0993211590790997</v>
      </c>
    </row>
    <row r="22" spans="1:26" s="59" customFormat="1" ht="15" customHeight="1">
      <c r="A22" s="48">
        <f t="shared" si="24"/>
        <v>0.6300000000000001</v>
      </c>
      <c r="B22" s="51">
        <f t="shared" si="0"/>
        <v>-9.8766895800401</v>
      </c>
      <c r="C22" s="69">
        <f t="shared" si="1"/>
        <v>0.26039999999999996</v>
      </c>
      <c r="D22" s="50">
        <f t="shared" si="2"/>
        <v>7510.671558744106</v>
      </c>
      <c r="E22" s="50">
        <f t="shared" si="3"/>
        <v>793.6507936507935</v>
      </c>
      <c r="F22" s="51">
        <f t="shared" si="4"/>
        <v>0.72501014547586</v>
      </c>
      <c r="G22" s="48">
        <f t="shared" si="5"/>
        <v>0.8050712459422008</v>
      </c>
      <c r="H22" s="52">
        <f t="shared" si="6"/>
        <v>3.114996321942068</v>
      </c>
      <c r="I22" s="51">
        <f t="shared" si="7"/>
        <v>0.9716803282464908</v>
      </c>
      <c r="J22" s="49">
        <f t="shared" si="8"/>
        <v>-0.10854481848464075</v>
      </c>
      <c r="K22" s="51">
        <f t="shared" si="9"/>
        <v>0.006625783951184114</v>
      </c>
      <c r="L22" s="51">
        <f t="shared" si="10"/>
        <v>0.004725812148882612</v>
      </c>
      <c r="M22" s="51">
        <f t="shared" si="11"/>
        <v>0.00041735436670175494</v>
      </c>
      <c r="N22" s="51">
        <f t="shared" si="12"/>
        <v>0.045348332340969494</v>
      </c>
      <c r="O22" s="51">
        <f t="shared" si="13"/>
        <v>0</v>
      </c>
      <c r="P22" s="51">
        <f t="shared" si="14"/>
        <v>0.5</v>
      </c>
      <c r="Q22" s="53">
        <f t="shared" si="15"/>
        <v>0.4458340956509569</v>
      </c>
      <c r="R22" s="54">
        <f t="shared" si="16"/>
        <v>6</v>
      </c>
      <c r="S22" s="55">
        <f t="shared" si="17"/>
        <v>5.082584890329368</v>
      </c>
      <c r="T22" s="51">
        <f t="shared" si="18"/>
        <v>2.4716803282464905</v>
      </c>
      <c r="U22" s="51">
        <f t="shared" si="19"/>
        <v>4.110904562082878</v>
      </c>
      <c r="V22" s="56">
        <f t="shared" si="20"/>
        <v>0.9174151096706318</v>
      </c>
      <c r="W22" s="57">
        <f t="shared" si="21"/>
        <v>-14.417514423897448</v>
      </c>
      <c r="X22" s="58">
        <f t="shared" si="25"/>
        <v>-0.09978789604300298</v>
      </c>
      <c r="Y22" s="51">
        <f t="shared" si="22"/>
        <v>1.0993211590790997</v>
      </c>
      <c r="Z22" s="51">
        <f t="shared" si="23"/>
        <v>1.0993211590790997</v>
      </c>
    </row>
    <row r="23" spans="1:26" s="59" customFormat="1" ht="15" customHeight="1">
      <c r="A23" s="48">
        <f t="shared" si="24"/>
        <v>0.6400000000000001</v>
      </c>
      <c r="B23" s="51">
        <f t="shared" si="0"/>
        <v>-9.8766895800401</v>
      </c>
      <c r="C23" s="69">
        <f t="shared" si="1"/>
        <v>0.26039999999999996</v>
      </c>
      <c r="D23" s="50">
        <f t="shared" si="2"/>
        <v>7393.317315638729</v>
      </c>
      <c r="E23" s="50">
        <f t="shared" si="3"/>
        <v>781.2499999999999</v>
      </c>
      <c r="F23" s="51">
        <f t="shared" si="4"/>
        <v>0.7331266756891074</v>
      </c>
      <c r="G23" s="48">
        <f t="shared" si="5"/>
        <v>0.8123882831546511</v>
      </c>
      <c r="H23" s="52">
        <f t="shared" si="6"/>
        <v>3.2002222734139414</v>
      </c>
      <c r="I23" s="51">
        <f t="shared" si="7"/>
        <v>0.9871038255202446</v>
      </c>
      <c r="J23" s="49">
        <f t="shared" si="8"/>
        <v>-0.11026775211138107</v>
      </c>
      <c r="K23" s="51">
        <f t="shared" si="9"/>
        <v>0.006836509452139667</v>
      </c>
      <c r="L23" s="51">
        <f t="shared" si="10"/>
        <v>0.005031544431983065</v>
      </c>
      <c r="M23" s="51">
        <f t="shared" si="11"/>
        <v>0.00041359532992678213</v>
      </c>
      <c r="N23" s="51">
        <f t="shared" si="12"/>
        <v>0.04493563241783741</v>
      </c>
      <c r="O23" s="51">
        <f t="shared" si="13"/>
        <v>0</v>
      </c>
      <c r="P23" s="51">
        <f t="shared" si="14"/>
        <v>0.5</v>
      </c>
      <c r="Q23" s="53">
        <f t="shared" si="15"/>
        <v>0.4458340956509569</v>
      </c>
      <c r="R23" s="54">
        <f t="shared" si="16"/>
        <v>6</v>
      </c>
      <c r="S23" s="55">
        <f t="shared" si="17"/>
        <v>5.1831273714349635</v>
      </c>
      <c r="T23" s="51">
        <f t="shared" si="18"/>
        <v>2.4871038255202444</v>
      </c>
      <c r="U23" s="51">
        <f t="shared" si="19"/>
        <v>4.196023545914719</v>
      </c>
      <c r="V23" s="56">
        <f t="shared" si="20"/>
        <v>0.8168726285650365</v>
      </c>
      <c r="W23" s="57">
        <f t="shared" si="21"/>
        <v>-14.4329379211712</v>
      </c>
      <c r="X23" s="58">
        <f t="shared" si="25"/>
        <v>-0.10130213986017944</v>
      </c>
      <c r="Y23" s="51">
        <f t="shared" si="22"/>
        <v>1.0993211590790997</v>
      </c>
      <c r="Z23" s="51">
        <f t="shared" si="23"/>
        <v>1.0993211590790997</v>
      </c>
    </row>
    <row r="24" spans="1:26" s="47" customFormat="1" ht="15" customHeight="1">
      <c r="A24" s="37">
        <f t="shared" si="24"/>
        <v>0.6500000000000001</v>
      </c>
      <c r="B24" s="40">
        <f t="shared" si="0"/>
        <v>-9.8766895800401</v>
      </c>
      <c r="C24" s="68">
        <f t="shared" si="1"/>
        <v>0.26039999999999996</v>
      </c>
      <c r="D24" s="39">
        <f t="shared" si="2"/>
        <v>7279.57397232121</v>
      </c>
      <c r="E24" s="39">
        <f t="shared" si="3"/>
        <v>769.230769230769</v>
      </c>
      <c r="F24" s="40">
        <f t="shared" si="4"/>
        <v>0.7412800498501647</v>
      </c>
      <c r="G24" s="37">
        <f t="shared" si="5"/>
        <v>0.8197536900227181</v>
      </c>
      <c r="H24" s="41">
        <f t="shared" si="6"/>
        <v>3.2869482170228794</v>
      </c>
      <c r="I24" s="40">
        <f t="shared" si="7"/>
        <v>1.0025273227939984</v>
      </c>
      <c r="J24" s="38">
        <f t="shared" si="8"/>
        <v>-0.1119906857381214</v>
      </c>
      <c r="K24" s="40">
        <f t="shared" si="9"/>
        <v>0.007050472150527758</v>
      </c>
      <c r="L24" s="40">
        <f t="shared" si="10"/>
        <v>0.005351812529163441</v>
      </c>
      <c r="M24" s="40">
        <f t="shared" si="11"/>
        <v>0.0004098792162688384</v>
      </c>
      <c r="N24" s="40">
        <f t="shared" si="12"/>
        <v>0.04452772205272933</v>
      </c>
      <c r="O24" s="40">
        <f t="shared" si="13"/>
        <v>0</v>
      </c>
      <c r="P24" s="40">
        <f t="shared" si="14"/>
        <v>0.5</v>
      </c>
      <c r="Q24" s="42">
        <f t="shared" si="15"/>
        <v>0.4458340956509569</v>
      </c>
      <c r="R24" s="43">
        <f t="shared" si="16"/>
        <v>6</v>
      </c>
      <c r="S24" s="44">
        <f t="shared" si="17"/>
        <v>5.285189170049727</v>
      </c>
      <c r="T24" s="40">
        <f t="shared" si="18"/>
        <v>2.5025273227939984</v>
      </c>
      <c r="U24" s="40">
        <f t="shared" si="19"/>
        <v>4.282661847255729</v>
      </c>
      <c r="V24" s="45">
        <f t="shared" si="20"/>
        <v>0.7148108299502729</v>
      </c>
      <c r="W24" s="46">
        <f t="shared" si="21"/>
        <v>-14.448361418444955</v>
      </c>
      <c r="X24" s="60">
        <f t="shared" si="25"/>
        <v>-0.10282728689206388</v>
      </c>
      <c r="Y24" s="40">
        <f t="shared" si="22"/>
        <v>1.0993211590790997</v>
      </c>
      <c r="Z24" s="40">
        <f t="shared" si="23"/>
        <v>1.0993211590790997</v>
      </c>
    </row>
    <row r="25" spans="1:26" s="59" customFormat="1" ht="15" customHeight="1">
      <c r="A25" s="48">
        <f t="shared" si="24"/>
        <v>0.6600000000000001</v>
      </c>
      <c r="B25" s="51">
        <f t="shared" si="0"/>
        <v>-9.8766895800401</v>
      </c>
      <c r="C25" s="69">
        <f t="shared" si="1"/>
        <v>0.26039999999999996</v>
      </c>
      <c r="D25" s="50">
        <f t="shared" si="2"/>
        <v>7169.27739698301</v>
      </c>
      <c r="E25" s="50">
        <f t="shared" si="3"/>
        <v>757.5757575757574</v>
      </c>
      <c r="F25" s="51">
        <f t="shared" si="4"/>
        <v>0.7494690654987906</v>
      </c>
      <c r="G25" s="48">
        <f t="shared" si="5"/>
        <v>0.8271661744411641</v>
      </c>
      <c r="H25" s="52">
        <f t="shared" si="6"/>
        <v>3.3751853506015426</v>
      </c>
      <c r="I25" s="51">
        <f t="shared" si="7"/>
        <v>1.0179508200677523</v>
      </c>
      <c r="J25" s="49">
        <f t="shared" si="8"/>
        <v>-0.11371361936486173</v>
      </c>
      <c r="K25" s="51">
        <f t="shared" si="9"/>
        <v>0.007267668266845121</v>
      </c>
      <c r="L25" s="51">
        <f t="shared" si="10"/>
        <v>0.005687064992490051</v>
      </c>
      <c r="M25" s="51">
        <f t="shared" si="11"/>
        <v>0.0004062061655591787</v>
      </c>
      <c r="N25" s="51">
        <f t="shared" si="12"/>
        <v>0.044124613906349974</v>
      </c>
      <c r="O25" s="51">
        <f t="shared" si="13"/>
        <v>0</v>
      </c>
      <c r="P25" s="51">
        <f t="shared" si="14"/>
        <v>0.5</v>
      </c>
      <c r="Q25" s="53">
        <f t="shared" si="15"/>
        <v>0.4458340956509569</v>
      </c>
      <c r="R25" s="54">
        <f t="shared" si="16"/>
        <v>6</v>
      </c>
      <c r="S25" s="55">
        <f t="shared" si="17"/>
        <v>5.388781945219091</v>
      </c>
      <c r="T25" s="51">
        <f t="shared" si="18"/>
        <v>2.5179508200677523</v>
      </c>
      <c r="U25" s="51">
        <f t="shared" si="19"/>
        <v>4.370831125151339</v>
      </c>
      <c r="V25" s="56">
        <f t="shared" si="20"/>
        <v>0.6112180547809087</v>
      </c>
      <c r="W25" s="57">
        <f t="shared" si="21"/>
        <v>-14.46378491571871</v>
      </c>
      <c r="X25" s="58">
        <f t="shared" si="25"/>
        <v>-0.1043649017219872</v>
      </c>
      <c r="Y25" s="51">
        <f t="shared" si="22"/>
        <v>1.0993211590790997</v>
      </c>
      <c r="Z25" s="51">
        <f t="shared" si="23"/>
        <v>1.0993211590790997</v>
      </c>
    </row>
    <row r="26" spans="1:26" s="59" customFormat="1" ht="15" customHeight="1">
      <c r="A26" s="48">
        <f t="shared" si="24"/>
        <v>0.6700000000000002</v>
      </c>
      <c r="B26" s="51">
        <f t="shared" si="0"/>
        <v>-9.8766895800401</v>
      </c>
      <c r="C26" s="69">
        <f t="shared" si="1"/>
        <v>0.26039999999999996</v>
      </c>
      <c r="D26" s="50">
        <f t="shared" si="2"/>
        <v>7062.2732567295325</v>
      </c>
      <c r="E26" s="50">
        <f t="shared" si="3"/>
        <v>746.2686567164177</v>
      </c>
      <c r="F26" s="51">
        <f t="shared" si="4"/>
        <v>0.7576925670139999</v>
      </c>
      <c r="G26" s="48">
        <f t="shared" si="5"/>
        <v>0.8346244820925545</v>
      </c>
      <c r="H26" s="52">
        <f t="shared" si="6"/>
        <v>3.46494648956876</v>
      </c>
      <c r="I26" s="51">
        <f t="shared" si="7"/>
        <v>1.0333743173415062</v>
      </c>
      <c r="J26" s="49">
        <f t="shared" si="8"/>
        <v>-0.11543655299160206</v>
      </c>
      <c r="K26" s="51">
        <f t="shared" si="9"/>
        <v>0.0074880939654676055</v>
      </c>
      <c r="L26" s="51">
        <f t="shared" si="10"/>
        <v>0.006037756923914388</v>
      </c>
      <c r="M26" s="51">
        <f t="shared" si="11"/>
        <v>0.0004025762569983417</v>
      </c>
      <c r="N26" s="51">
        <f t="shared" si="12"/>
        <v>0.04372631400856377</v>
      </c>
      <c r="O26" s="51">
        <f t="shared" si="13"/>
        <v>0</v>
      </c>
      <c r="P26" s="51">
        <f t="shared" si="14"/>
        <v>0.5</v>
      </c>
      <c r="Q26" s="53">
        <f t="shared" si="15"/>
        <v>0.4458340956509569</v>
      </c>
      <c r="R26" s="54">
        <f t="shared" si="16"/>
        <v>6</v>
      </c>
      <c r="S26" s="55">
        <f t="shared" si="17"/>
        <v>5.4939189734937015</v>
      </c>
      <c r="T26" s="51">
        <f t="shared" si="18"/>
        <v>2.533374317341506</v>
      </c>
      <c r="U26" s="51">
        <f t="shared" si="19"/>
        <v>4.460544656152195</v>
      </c>
      <c r="V26" s="56">
        <f t="shared" si="20"/>
        <v>0.5060810265062985</v>
      </c>
      <c r="W26" s="57">
        <f t="shared" si="21"/>
        <v>-14.479208412992463</v>
      </c>
      <c r="X26" s="58">
        <f t="shared" si="25"/>
        <v>-0.10591665678378615</v>
      </c>
      <c r="Y26" s="51">
        <f t="shared" si="22"/>
        <v>1.0993211590790997</v>
      </c>
      <c r="Z26" s="51">
        <f t="shared" si="23"/>
        <v>1.0993211590790997</v>
      </c>
    </row>
    <row r="27" spans="1:26" s="59" customFormat="1" ht="15" customHeight="1">
      <c r="A27" s="48">
        <f t="shared" si="24"/>
        <v>0.6800000000000002</v>
      </c>
      <c r="B27" s="51">
        <f t="shared" si="0"/>
        <v>-9.8766895800401</v>
      </c>
      <c r="C27" s="69">
        <f t="shared" si="1"/>
        <v>0.26039999999999996</v>
      </c>
      <c r="D27" s="50">
        <f t="shared" si="2"/>
        <v>6958.416297071744</v>
      </c>
      <c r="E27" s="50">
        <f t="shared" si="3"/>
        <v>735.2941176470587</v>
      </c>
      <c r="F27" s="51">
        <f t="shared" si="4"/>
        <v>0.7659494436395692</v>
      </c>
      <c r="G27" s="48">
        <f t="shared" si="5"/>
        <v>0.8421273954763409</v>
      </c>
      <c r="H27" s="52">
        <f t="shared" si="6"/>
        <v>3.5562461762843984</v>
      </c>
      <c r="I27" s="51">
        <f t="shared" si="7"/>
        <v>1.04879781461526</v>
      </c>
      <c r="J27" s="49">
        <f t="shared" si="8"/>
        <v>-0.1171594866183424</v>
      </c>
      <c r="K27" s="51">
        <f t="shared" si="9"/>
        <v>0.007711745354763103</v>
      </c>
      <c r="L27" s="51">
        <f t="shared" si="10"/>
        <v>0.006404349972181793</v>
      </c>
      <c r="M27" s="51">
        <f t="shared" si="11"/>
        <v>0.0003989895137064684</v>
      </c>
      <c r="N27" s="51">
        <f t="shared" si="12"/>
        <v>0.043332822263866665</v>
      </c>
      <c r="O27" s="51">
        <f t="shared" si="13"/>
        <v>0</v>
      </c>
      <c r="P27" s="51">
        <f t="shared" si="14"/>
        <v>0.5</v>
      </c>
      <c r="Q27" s="53">
        <f t="shared" si="15"/>
        <v>0.4458340956509569</v>
      </c>
      <c r="R27" s="54">
        <f t="shared" si="16"/>
        <v>6</v>
      </c>
      <c r="S27" s="55">
        <f t="shared" si="17"/>
        <v>5.6006152587866636</v>
      </c>
      <c r="T27" s="51">
        <f t="shared" si="18"/>
        <v>2.54879781461526</v>
      </c>
      <c r="U27" s="51">
        <f t="shared" si="19"/>
        <v>4.551817444171403</v>
      </c>
      <c r="V27" s="56">
        <f t="shared" si="20"/>
        <v>0.39938474121333645</v>
      </c>
      <c r="W27" s="57">
        <f t="shared" si="21"/>
        <v>-14.494631910266216</v>
      </c>
      <c r="X27" s="58">
        <f t="shared" si="25"/>
        <v>-0.10748433673352675</v>
      </c>
      <c r="Y27" s="51">
        <f t="shared" si="22"/>
        <v>1.0993211590790997</v>
      </c>
      <c r="Z27" s="51">
        <f t="shared" si="23"/>
        <v>1.0993211590790997</v>
      </c>
    </row>
    <row r="28" spans="1:26" s="59" customFormat="1" ht="15" customHeight="1">
      <c r="A28" s="48">
        <f t="shared" si="24"/>
        <v>0.6900000000000002</v>
      </c>
      <c r="B28" s="51">
        <f t="shared" si="0"/>
        <v>-9.8766895800401</v>
      </c>
      <c r="C28" s="69">
        <f t="shared" si="1"/>
        <v>0.26039999999999996</v>
      </c>
      <c r="D28" s="50">
        <f t="shared" si="2"/>
        <v>6857.569684070704</v>
      </c>
      <c r="E28" s="50">
        <f t="shared" si="3"/>
        <v>724.6376811594201</v>
      </c>
      <c r="F28" s="51">
        <f t="shared" si="4"/>
        <v>0.7742386275885058</v>
      </c>
      <c r="G28" s="48">
        <f t="shared" si="5"/>
        <v>0.8496737329411408</v>
      </c>
      <c r="H28" s="52">
        <f t="shared" si="6"/>
        <v>3.649100794160878</v>
      </c>
      <c r="I28" s="51">
        <f t="shared" si="7"/>
        <v>1.0642213118890138</v>
      </c>
      <c r="J28" s="49">
        <f t="shared" si="8"/>
        <v>-0.11888242024508272</v>
      </c>
      <c r="K28" s="51">
        <f t="shared" si="9"/>
        <v>0.007938618487206032</v>
      </c>
      <c r="L28" s="51">
        <f t="shared" si="10"/>
        <v>0.0067873123308481885</v>
      </c>
      <c r="M28" s="51">
        <f t="shared" si="11"/>
        <v>0.00039544590702708665</v>
      </c>
      <c r="N28" s="51">
        <f t="shared" si="12"/>
        <v>0.04294413292905718</v>
      </c>
      <c r="O28" s="51">
        <f t="shared" si="13"/>
        <v>0</v>
      </c>
      <c r="P28" s="51">
        <f t="shared" si="14"/>
        <v>0.5</v>
      </c>
      <c r="Q28" s="53">
        <f t="shared" si="15"/>
        <v>0.4458340956509569</v>
      </c>
      <c r="R28" s="54">
        <f t="shared" si="16"/>
        <v>6</v>
      </c>
      <c r="S28" s="55">
        <f t="shared" si="17"/>
        <v>5.708887646960755</v>
      </c>
      <c r="T28" s="51">
        <f t="shared" si="18"/>
        <v>2.564221311889014</v>
      </c>
      <c r="U28" s="51">
        <f t="shared" si="19"/>
        <v>4.644666335071741</v>
      </c>
      <c r="V28" s="56">
        <f t="shared" si="20"/>
        <v>0.291112353039245</v>
      </c>
      <c r="W28" s="57">
        <f t="shared" si="21"/>
        <v>-14.510055407539971</v>
      </c>
      <c r="X28" s="58">
        <f t="shared" si="25"/>
        <v>-0.10906984357558791</v>
      </c>
      <c r="Y28" s="51">
        <f t="shared" si="22"/>
        <v>1.0993211590790997</v>
      </c>
      <c r="Z28" s="51">
        <f t="shared" si="23"/>
        <v>1.0993211590790997</v>
      </c>
    </row>
    <row r="29" spans="1:26" s="47" customFormat="1" ht="15" customHeight="1">
      <c r="A29" s="37">
        <f t="shared" si="24"/>
        <v>0.7000000000000002</v>
      </c>
      <c r="B29" s="40">
        <f t="shared" si="0"/>
        <v>-9.8766895800401</v>
      </c>
      <c r="C29" s="68">
        <f t="shared" si="1"/>
        <v>0.26039999999999996</v>
      </c>
      <c r="D29" s="39">
        <f t="shared" si="2"/>
        <v>6759.604402869695</v>
      </c>
      <c r="E29" s="39">
        <f t="shared" si="3"/>
        <v>714.2857142857141</v>
      </c>
      <c r="F29" s="40">
        <f t="shared" si="4"/>
        <v>0.7825590922245855</v>
      </c>
      <c r="G29" s="37">
        <f t="shared" si="5"/>
        <v>0.8572623477228936</v>
      </c>
      <c r="H29" s="41">
        <f t="shared" si="6"/>
        <v>3.7435286873226974</v>
      </c>
      <c r="I29" s="40">
        <f t="shared" si="7"/>
        <v>1.0796448091627675</v>
      </c>
      <c r="J29" s="38">
        <f t="shared" si="8"/>
        <v>-0.12060535387182306</v>
      </c>
      <c r="K29" s="40">
        <f t="shared" si="9"/>
        <v>0.00816870935949353</v>
      </c>
      <c r="L29" s="40">
        <f t="shared" si="10"/>
        <v>0.00718711873743769</v>
      </c>
      <c r="M29" s="40">
        <f t="shared" si="11"/>
        <v>0.0003919453605917737</v>
      </c>
      <c r="N29" s="40">
        <f t="shared" si="12"/>
        <v>0.04256023506397997</v>
      </c>
      <c r="O29" s="40">
        <f t="shared" si="13"/>
        <v>0</v>
      </c>
      <c r="P29" s="40">
        <f t="shared" si="14"/>
        <v>0.5</v>
      </c>
      <c r="Q29" s="42">
        <f t="shared" si="15"/>
        <v>0.4458340956509569</v>
      </c>
      <c r="R29" s="43">
        <f t="shared" si="16"/>
        <v>6</v>
      </c>
      <c r="S29" s="44">
        <f t="shared" si="17"/>
        <v>5.818754945937839</v>
      </c>
      <c r="T29" s="40">
        <f t="shared" si="18"/>
        <v>2.5796448091627675</v>
      </c>
      <c r="U29" s="40">
        <f t="shared" si="19"/>
        <v>4.739110136775071</v>
      </c>
      <c r="V29" s="45">
        <f t="shared" si="20"/>
        <v>0.18124505406216063</v>
      </c>
      <c r="W29" s="46">
        <f t="shared" si="21"/>
        <v>-14.525478904813724</v>
      </c>
      <c r="X29" s="60">
        <f t="shared" si="25"/>
        <v>-0.11067520262292829</v>
      </c>
      <c r="Y29" s="40">
        <f t="shared" si="22"/>
        <v>1.0993211590790997</v>
      </c>
      <c r="Z29" s="40">
        <f t="shared" si="23"/>
        <v>1.0993211590790997</v>
      </c>
    </row>
    <row r="30" spans="1:26" s="59" customFormat="1" ht="15" customHeight="1">
      <c r="A30" s="48">
        <f t="shared" si="24"/>
        <v>0.7100000000000002</v>
      </c>
      <c r="B30" s="51">
        <f t="shared" si="0"/>
        <v>-9.8766895800401</v>
      </c>
      <c r="C30" s="69">
        <f t="shared" si="1"/>
        <v>0.26039999999999996</v>
      </c>
      <c r="D30" s="50">
        <f t="shared" si="2"/>
        <v>6664.398707054628</v>
      </c>
      <c r="E30" s="50">
        <f t="shared" si="3"/>
        <v>704.2253521126759</v>
      </c>
      <c r="F30" s="51">
        <f t="shared" si="4"/>
        <v>0.7909098503189024</v>
      </c>
      <c r="G30" s="48">
        <f t="shared" si="5"/>
        <v>0.8648921269912616</v>
      </c>
      <c r="H30" s="52">
        <f t="shared" si="6"/>
        <v>3.83955028668907</v>
      </c>
      <c r="I30" s="51">
        <f t="shared" si="7"/>
        <v>1.0950683064365214</v>
      </c>
      <c r="J30" s="49">
        <f t="shared" si="8"/>
        <v>-0.12232828749856338</v>
      </c>
      <c r="K30" s="51">
        <f t="shared" si="9"/>
        <v>0.008402013912663018</v>
      </c>
      <c r="L30" s="51">
        <f t="shared" si="10"/>
        <v>0.007604250473802181</v>
      </c>
      <c r="M30" s="51">
        <f t="shared" si="11"/>
        <v>0.0003884877541536399</v>
      </c>
      <c r="N30" s="51">
        <f t="shared" si="12"/>
        <v>0.042181112956260425</v>
      </c>
      <c r="O30" s="51">
        <f t="shared" si="13"/>
        <v>0</v>
      </c>
      <c r="P30" s="51">
        <f t="shared" si="14"/>
        <v>0.5</v>
      </c>
      <c r="Q30" s="53">
        <f t="shared" si="15"/>
        <v>0.4458340956509569</v>
      </c>
      <c r="R30" s="54">
        <f t="shared" si="16"/>
        <v>6</v>
      </c>
      <c r="S30" s="55">
        <f t="shared" si="17"/>
        <v>5.930238052206612</v>
      </c>
      <c r="T30" s="51">
        <f t="shared" si="18"/>
        <v>2.5950683064365214</v>
      </c>
      <c r="U30" s="51">
        <f t="shared" si="19"/>
        <v>4.83516974577009</v>
      </c>
      <c r="V30" s="56">
        <f t="shared" si="20"/>
        <v>0.0697619477933884</v>
      </c>
      <c r="W30" s="57">
        <f t="shared" si="21"/>
        <v>-14.540902402087479</v>
      </c>
      <c r="X30" s="58">
        <f t="shared" si="25"/>
        <v>-0.11230256937984473</v>
      </c>
      <c r="Y30" s="51">
        <f t="shared" si="22"/>
        <v>1.0993211590790997</v>
      </c>
      <c r="Z30" s="51">
        <f t="shared" si="23"/>
        <v>1.0993211590790997</v>
      </c>
    </row>
    <row r="31" spans="1:26" s="59" customFormat="1" ht="15" customHeight="1">
      <c r="A31" s="48">
        <f t="shared" si="24"/>
        <v>0.7200000000000002</v>
      </c>
      <c r="B31" s="51">
        <f t="shared" si="0"/>
        <v>-9.8766895800401</v>
      </c>
      <c r="C31" s="69">
        <f t="shared" si="1"/>
        <v>0.26039999999999996</v>
      </c>
      <c r="D31" s="50">
        <f t="shared" si="2"/>
        <v>6571.837613901092</v>
      </c>
      <c r="E31" s="50">
        <f t="shared" si="3"/>
        <v>694.4444444444442</v>
      </c>
      <c r="F31" s="51">
        <f t="shared" si="4"/>
        <v>0.7992899523792578</v>
      </c>
      <c r="G31" s="48">
        <f t="shared" si="5"/>
        <v>0.8725619909063402</v>
      </c>
      <c r="H31" s="52">
        <f t="shared" si="6"/>
        <v>3.937188243447547</v>
      </c>
      <c r="I31" s="51">
        <f t="shared" si="7"/>
        <v>1.1104918037102753</v>
      </c>
      <c r="J31" s="49">
        <f t="shared" si="8"/>
        <v>-0.12405122112530372</v>
      </c>
      <c r="K31" s="51">
        <f t="shared" si="9"/>
        <v>0.008638528032211842</v>
      </c>
      <c r="L31" s="51">
        <f t="shared" si="10"/>
        <v>0.008039195367735686</v>
      </c>
      <c r="M31" s="51">
        <f t="shared" si="11"/>
        <v>0.00038507292719797815</v>
      </c>
      <c r="N31" s="51">
        <f t="shared" si="12"/>
        <v>0.041806746521014196</v>
      </c>
      <c r="O31" s="51">
        <f t="shared" si="13"/>
        <v>0</v>
      </c>
      <c r="P31" s="51">
        <f t="shared" si="14"/>
        <v>0.5</v>
      </c>
      <c r="Q31" s="53">
        <f t="shared" si="15"/>
        <v>0.4458340956509569</v>
      </c>
      <c r="R31" s="54">
        <f t="shared" si="16"/>
        <v>6</v>
      </c>
      <c r="S31" s="55">
        <f t="shared" si="17"/>
        <v>6.043360084697529</v>
      </c>
      <c r="T31" s="51">
        <f t="shared" si="18"/>
        <v>2.6104918037102753</v>
      </c>
      <c r="U31" s="51">
        <f t="shared" si="19"/>
        <v>4.932868280987254</v>
      </c>
      <c r="V31" s="56">
        <f t="shared" si="20"/>
        <v>-0.04336008469752883</v>
      </c>
      <c r="W31" s="57">
        <f t="shared" si="21"/>
        <v>-14.556325899361232</v>
      </c>
      <c r="X31" s="58">
        <f t="shared" si="25"/>
        <v>-0.11395423744580979</v>
      </c>
      <c r="Y31" s="51">
        <f t="shared" si="22"/>
        <v>1.0993211590790997</v>
      </c>
      <c r="Z31" s="51">
        <f t="shared" si="23"/>
        <v>1.0993211590790997</v>
      </c>
    </row>
    <row r="32" spans="1:26" s="59" customFormat="1" ht="15" customHeight="1">
      <c r="A32" s="48">
        <f t="shared" si="24"/>
        <v>0.7300000000000002</v>
      </c>
      <c r="B32" s="51">
        <f t="shared" si="0"/>
        <v>-9.8766895800401</v>
      </c>
      <c r="C32" s="69">
        <f t="shared" si="1"/>
        <v>0.26039999999999996</v>
      </c>
      <c r="D32" s="50">
        <f t="shared" si="2"/>
        <v>6481.812441107927</v>
      </c>
      <c r="E32" s="50">
        <f t="shared" si="3"/>
        <v>684.9315068493149</v>
      </c>
      <c r="F32" s="51">
        <f t="shared" si="4"/>
        <v>0.8076984850501271</v>
      </c>
      <c r="G32" s="48">
        <f t="shared" si="5"/>
        <v>0.8802708916874795</v>
      </c>
      <c r="H32" s="52">
        <f t="shared" si="6"/>
        <v>4.036467570990857</v>
      </c>
      <c r="I32" s="51">
        <f t="shared" si="7"/>
        <v>1.125915300984029</v>
      </c>
      <c r="J32" s="49">
        <f t="shared" si="8"/>
        <v>-0.12577415475204404</v>
      </c>
      <c r="K32" s="51">
        <f t="shared" si="9"/>
        <v>0.008878247548217734</v>
      </c>
      <c r="L32" s="51">
        <f t="shared" si="10"/>
        <v>0.008492447795884124</v>
      </c>
      <c r="M32" s="51">
        <f t="shared" si="11"/>
        <v>0.00038170068233869223</v>
      </c>
      <c r="N32" s="51">
        <f t="shared" si="12"/>
        <v>0.0414371116765041</v>
      </c>
      <c r="O32" s="51">
        <f t="shared" si="13"/>
        <v>0</v>
      </c>
      <c r="P32" s="51">
        <f t="shared" si="14"/>
        <v>0.5</v>
      </c>
      <c r="Q32" s="53">
        <f t="shared" si="15"/>
        <v>0.4458340956509569</v>
      </c>
      <c r="R32" s="54">
        <f t="shared" si="16"/>
        <v>6</v>
      </c>
      <c r="S32" s="55">
        <f t="shared" si="17"/>
        <v>6.158146527098231</v>
      </c>
      <c r="T32" s="51">
        <f t="shared" si="18"/>
        <v>2.625915300984029</v>
      </c>
      <c r="U32" s="51">
        <f t="shared" si="19"/>
        <v>5.032231226114202</v>
      </c>
      <c r="V32" s="56">
        <f t="shared" si="20"/>
        <v>-0.15814652709823118</v>
      </c>
      <c r="W32" s="57">
        <f t="shared" si="21"/>
        <v>-14.571749396634987</v>
      </c>
      <c r="X32" s="58">
        <f t="shared" si="25"/>
        <v>-0.1156326475511813</v>
      </c>
      <c r="Y32" s="51">
        <f t="shared" si="22"/>
        <v>1.0993211590790997</v>
      </c>
      <c r="Z32" s="51">
        <f t="shared" si="23"/>
        <v>1.0993211590790997</v>
      </c>
    </row>
    <row r="33" spans="1:26" s="59" customFormat="1" ht="15" customHeight="1">
      <c r="A33" s="48">
        <f t="shared" si="24"/>
        <v>0.7400000000000002</v>
      </c>
      <c r="B33" s="51">
        <f t="shared" si="0"/>
        <v>-9.8766895800401</v>
      </c>
      <c r="C33" s="69">
        <f t="shared" si="1"/>
        <v>0.26039999999999996</v>
      </c>
      <c r="D33" s="50">
        <f t="shared" si="2"/>
        <v>6394.220381092954</v>
      </c>
      <c r="E33" s="50">
        <f t="shared" si="3"/>
        <v>675.6756756756755</v>
      </c>
      <c r="F33" s="51">
        <f t="shared" si="4"/>
        <v>0.816134569580882</v>
      </c>
      <c r="G33" s="48">
        <f t="shared" si="5"/>
        <v>0.8880178126957654</v>
      </c>
      <c r="H33" s="52">
        <f t="shared" si="6"/>
        <v>4.137415796506363</v>
      </c>
      <c r="I33" s="51">
        <f t="shared" si="7"/>
        <v>1.141338798257783</v>
      </c>
      <c r="J33" s="49">
        <f t="shared" si="8"/>
        <v>-0.12749708837878437</v>
      </c>
      <c r="K33" s="51">
        <f t="shared" si="9"/>
        <v>0.009121168235461843</v>
      </c>
      <c r="L33" s="51">
        <f t="shared" si="10"/>
        <v>0.008964508688011665</v>
      </c>
      <c r="M33" s="51">
        <f t="shared" si="11"/>
        <v>0.00037837078850929925</v>
      </c>
      <c r="N33" s="51">
        <f t="shared" si="12"/>
        <v>0.04107218069677714</v>
      </c>
      <c r="O33" s="51">
        <f t="shared" si="13"/>
        <v>0</v>
      </c>
      <c r="P33" s="51">
        <f t="shared" si="14"/>
        <v>0.5</v>
      </c>
      <c r="Q33" s="53">
        <f t="shared" si="15"/>
        <v>0.4458340956509569</v>
      </c>
      <c r="R33" s="54">
        <f t="shared" si="16"/>
        <v>6</v>
      </c>
      <c r="S33" s="55">
        <f t="shared" si="17"/>
        <v>6.274625379799891</v>
      </c>
      <c r="T33" s="51">
        <f t="shared" si="18"/>
        <v>2.6413387982577827</v>
      </c>
      <c r="U33" s="51">
        <f t="shared" si="19"/>
        <v>5.133286581542109</v>
      </c>
      <c r="V33" s="56">
        <f t="shared" si="20"/>
        <v>-0.27462537979989143</v>
      </c>
      <c r="W33" s="57">
        <f t="shared" si="21"/>
        <v>-14.58717289390874</v>
      </c>
      <c r="X33" s="58">
        <f t="shared" si="25"/>
        <v>-0.11734039785006534</v>
      </c>
      <c r="Y33" s="51">
        <f t="shared" si="22"/>
        <v>1.0993211590790997</v>
      </c>
      <c r="Z33" s="51">
        <f t="shared" si="23"/>
        <v>1.0993211590790997</v>
      </c>
    </row>
    <row r="34" spans="1:26" s="47" customFormat="1" ht="15" customHeight="1">
      <c r="A34" s="37">
        <f t="shared" si="24"/>
        <v>0.7500000000000002</v>
      </c>
      <c r="B34" s="40">
        <f t="shared" si="0"/>
        <v>-9.8766895800401</v>
      </c>
      <c r="C34" s="68">
        <f t="shared" si="1"/>
        <v>0.26039999999999996</v>
      </c>
      <c r="D34" s="39">
        <f t="shared" si="2"/>
        <v>6308.964109345048</v>
      </c>
      <c r="E34" s="39">
        <f t="shared" si="3"/>
        <v>666.6666666666665</v>
      </c>
      <c r="F34" s="40">
        <f t="shared" si="4"/>
        <v>0.8245973603599148</v>
      </c>
      <c r="G34" s="37">
        <f t="shared" si="5"/>
        <v>0.8958017675314887</v>
      </c>
      <c r="H34" s="41">
        <f t="shared" si="6"/>
        <v>4.240063123540919</v>
      </c>
      <c r="I34" s="40">
        <f t="shared" si="7"/>
        <v>1.1567622955315369</v>
      </c>
      <c r="J34" s="38">
        <f t="shared" si="8"/>
        <v>-0.1292200220055247</v>
      </c>
      <c r="K34" s="40">
        <f t="shared" si="9"/>
        <v>0.009367285813552454</v>
      </c>
      <c r="L34" s="40">
        <f t="shared" si="10"/>
        <v>0.009455885532669678</v>
      </c>
      <c r="M34" s="40">
        <f t="shared" si="11"/>
        <v>0.00037508298395737326</v>
      </c>
      <c r="N34" s="40">
        <f t="shared" si="12"/>
        <v>0.040711922542279746</v>
      </c>
      <c r="O34" s="40">
        <f t="shared" si="13"/>
        <v>0</v>
      </c>
      <c r="P34" s="40">
        <f t="shared" si="14"/>
        <v>0.5</v>
      </c>
      <c r="Q34" s="42">
        <f t="shared" si="15"/>
        <v>0.4458340956509569</v>
      </c>
      <c r="R34" s="43">
        <f t="shared" si="16"/>
        <v>6</v>
      </c>
      <c r="S34" s="44">
        <f t="shared" si="17"/>
        <v>6.392827322798362</v>
      </c>
      <c r="T34" s="40">
        <f t="shared" si="18"/>
        <v>2.6567622955315366</v>
      </c>
      <c r="U34" s="40">
        <f t="shared" si="19"/>
        <v>5.236065027266825</v>
      </c>
      <c r="V34" s="45">
        <f t="shared" si="20"/>
        <v>-0.39282732279836186</v>
      </c>
      <c r="W34" s="46">
        <f t="shared" si="21"/>
        <v>-14.602596391182493</v>
      </c>
      <c r="X34" s="61"/>
      <c r="Y34" s="40">
        <f t="shared" si="22"/>
        <v>1.0993211590790997</v>
      </c>
      <c r="Z34" s="40">
        <f t="shared" si="23"/>
        <v>1.0993211590790997</v>
      </c>
    </row>
    <row r="35" spans="1:23" ht="15" customHeight="1">
      <c r="A35" s="3"/>
      <c r="B35" s="2"/>
      <c r="C35" s="2"/>
      <c r="D35" s="11"/>
      <c r="E35" s="2"/>
      <c r="F35" s="2"/>
      <c r="G35" s="3"/>
      <c r="H35" s="5"/>
      <c r="I35" s="5"/>
      <c r="J35" s="5"/>
      <c r="K35" s="5"/>
      <c r="L35" s="2"/>
      <c r="M35" s="5"/>
      <c r="N35" s="5"/>
      <c r="O35" s="5"/>
      <c r="P35" s="5"/>
      <c r="Q35" s="7"/>
      <c r="R35" s="8"/>
      <c r="S35" s="31"/>
      <c r="U35" s="31"/>
      <c r="V35" s="31"/>
      <c r="W35" s="32"/>
    </row>
    <row r="36" spans="1:21" ht="15" customHeight="1">
      <c r="A36" s="3"/>
      <c r="B36" s="2"/>
      <c r="C36" s="2"/>
      <c r="D36" s="11"/>
      <c r="E36" s="2"/>
      <c r="F36" s="2"/>
      <c r="G36" s="3"/>
      <c r="H36" s="5"/>
      <c r="I36" s="5"/>
      <c r="J36" s="5"/>
      <c r="K36" s="5"/>
      <c r="L36" s="2"/>
      <c r="M36" s="5"/>
      <c r="N36" s="5"/>
      <c r="O36" s="5"/>
      <c r="P36" s="5"/>
      <c r="Q36" s="7"/>
      <c r="R36" s="8"/>
      <c r="S36" s="5"/>
      <c r="U36" s="5"/>
    </row>
    <row r="37" spans="1:21" ht="15" customHeight="1">
      <c r="A37" s="3"/>
      <c r="B37" s="2"/>
      <c r="C37" s="2"/>
      <c r="D37" s="11"/>
      <c r="E37" s="2"/>
      <c r="F37" s="2"/>
      <c r="G37" s="3"/>
      <c r="H37" s="5"/>
      <c r="I37" s="5"/>
      <c r="J37" s="5"/>
      <c r="K37" s="5"/>
      <c r="L37" s="2"/>
      <c r="M37" s="5"/>
      <c r="N37" s="5"/>
      <c r="O37" s="5"/>
      <c r="P37" s="5"/>
      <c r="Q37" s="7"/>
      <c r="R37" s="8"/>
      <c r="S37" s="5"/>
      <c r="U37" s="5"/>
    </row>
    <row r="38" spans="1:21" ht="15" customHeight="1">
      <c r="A38" s="3"/>
      <c r="B38" s="2"/>
      <c r="C38" s="2"/>
      <c r="D38" s="11"/>
      <c r="E38" s="2"/>
      <c r="F38" s="2"/>
      <c r="G38" s="3"/>
      <c r="H38" s="5"/>
      <c r="I38" s="5"/>
      <c r="J38" s="5"/>
      <c r="K38" s="5"/>
      <c r="L38" s="2"/>
      <c r="M38" s="5"/>
      <c r="N38" s="5"/>
      <c r="O38" s="5"/>
      <c r="P38" s="5"/>
      <c r="Q38" s="7"/>
      <c r="R38" s="8"/>
      <c r="S38" s="5"/>
      <c r="U38" s="5"/>
    </row>
    <row r="39" spans="1:21" ht="15" customHeight="1">
      <c r="A39" s="3"/>
      <c r="B39" s="2"/>
      <c r="C39" s="2"/>
      <c r="D39" s="11"/>
      <c r="E39" s="2"/>
      <c r="F39" s="2"/>
      <c r="G39" s="3"/>
      <c r="H39" s="5"/>
      <c r="I39" s="5"/>
      <c r="J39" s="5"/>
      <c r="K39" s="5"/>
      <c r="L39" s="2"/>
      <c r="M39" s="5"/>
      <c r="N39" s="5"/>
      <c r="O39" s="5"/>
      <c r="P39" s="5"/>
      <c r="Q39" s="7"/>
      <c r="R39" s="8"/>
      <c r="S39" s="5"/>
      <c r="U39" s="5"/>
    </row>
    <row r="40" spans="1:21" ht="15" customHeight="1">
      <c r="A40" s="3"/>
      <c r="B40" s="2"/>
      <c r="C40" s="2"/>
      <c r="D40" s="11"/>
      <c r="E40" s="2"/>
      <c r="F40" s="2"/>
      <c r="G40" s="3"/>
      <c r="H40" s="5"/>
      <c r="I40" s="5"/>
      <c r="J40" s="5"/>
      <c r="K40" s="5"/>
      <c r="L40" s="2"/>
      <c r="M40" s="5"/>
      <c r="N40" s="5"/>
      <c r="O40" s="5"/>
      <c r="P40" s="5"/>
      <c r="Q40" s="7"/>
      <c r="R40" s="8"/>
      <c r="S40" s="5"/>
      <c r="U40" s="5"/>
    </row>
    <row r="41" spans="1:21" ht="15" customHeight="1">
      <c r="A41" s="3"/>
      <c r="B41" s="2"/>
      <c r="C41" s="2"/>
      <c r="D41" s="11"/>
      <c r="E41" s="2"/>
      <c r="F41" s="2"/>
      <c r="G41" s="3"/>
      <c r="H41" s="5"/>
      <c r="I41" s="5"/>
      <c r="J41" s="5"/>
      <c r="K41" s="5"/>
      <c r="L41" s="2"/>
      <c r="M41" s="5"/>
      <c r="N41" s="5"/>
      <c r="O41" s="5"/>
      <c r="P41" s="5"/>
      <c r="Q41" s="7"/>
      <c r="R41" s="8"/>
      <c r="S41" s="5"/>
      <c r="U41" s="5"/>
    </row>
    <row r="42" spans="1:21" ht="15" customHeight="1">
      <c r="A42" s="3"/>
      <c r="B42" s="2"/>
      <c r="C42" s="2"/>
      <c r="D42" s="11"/>
      <c r="E42" s="2"/>
      <c r="F42" s="2"/>
      <c r="G42" s="3"/>
      <c r="H42" s="5"/>
      <c r="I42" s="5"/>
      <c r="J42" s="5"/>
      <c r="K42" s="5"/>
      <c r="L42" s="2"/>
      <c r="M42" s="5"/>
      <c r="N42" s="5"/>
      <c r="O42" s="5"/>
      <c r="P42" s="5"/>
      <c r="Q42" s="7"/>
      <c r="R42" s="8"/>
      <c r="S42" s="5"/>
      <c r="U42" s="5"/>
    </row>
    <row r="43" spans="1:21" ht="15" customHeight="1">
      <c r="A43" s="3"/>
      <c r="B43" s="2"/>
      <c r="C43" s="2"/>
      <c r="D43" s="11"/>
      <c r="E43" s="2"/>
      <c r="F43" s="2"/>
      <c r="G43" s="3"/>
      <c r="H43" s="5"/>
      <c r="I43" s="5"/>
      <c r="J43" s="5"/>
      <c r="K43" s="5"/>
      <c r="L43" s="2"/>
      <c r="M43" s="5"/>
      <c r="N43" s="5"/>
      <c r="O43" s="5"/>
      <c r="P43" s="5"/>
      <c r="Q43" s="7"/>
      <c r="R43" s="8"/>
      <c r="S43" s="5"/>
      <c r="U43" s="5"/>
    </row>
    <row r="44" spans="1:21" ht="15" customHeight="1">
      <c r="A44" s="3"/>
      <c r="B44" s="2"/>
      <c r="C44" s="2"/>
      <c r="D44" s="11"/>
      <c r="E44" s="2"/>
      <c r="F44" s="2"/>
      <c r="G44" s="3"/>
      <c r="H44" s="5"/>
      <c r="I44" s="5"/>
      <c r="J44" s="5"/>
      <c r="K44" s="5"/>
      <c r="L44" s="2"/>
      <c r="M44" s="5"/>
      <c r="N44" s="5"/>
      <c r="O44" s="5"/>
      <c r="P44" s="5"/>
      <c r="Q44" s="7"/>
      <c r="R44" s="8"/>
      <c r="S44" s="5"/>
      <c r="U44" s="5"/>
    </row>
    <row r="45" spans="1:21" ht="15" customHeight="1">
      <c r="A45" s="3"/>
      <c r="B45" s="2"/>
      <c r="C45" s="2"/>
      <c r="D45" s="11"/>
      <c r="E45" s="2"/>
      <c r="F45" s="2"/>
      <c r="G45" s="3"/>
      <c r="H45" s="5"/>
      <c r="I45" s="5"/>
      <c r="J45" s="5"/>
      <c r="K45" s="5"/>
      <c r="L45" s="2"/>
      <c r="M45" s="5"/>
      <c r="N45" s="5"/>
      <c r="O45" s="5"/>
      <c r="P45" s="5"/>
      <c r="Q45" s="7"/>
      <c r="R45" s="8"/>
      <c r="S45" s="5"/>
      <c r="U45" s="5"/>
    </row>
    <row r="46" spans="1:21" ht="15" customHeight="1">
      <c r="A46" s="3"/>
      <c r="B46" s="2"/>
      <c r="C46" s="2"/>
      <c r="D46" s="11"/>
      <c r="E46" s="2"/>
      <c r="F46" s="2"/>
      <c r="G46" s="3"/>
      <c r="H46" s="5"/>
      <c r="I46" s="5"/>
      <c r="J46" s="5"/>
      <c r="K46" s="5"/>
      <c r="L46" s="2"/>
      <c r="M46" s="5"/>
      <c r="N46" s="2"/>
      <c r="O46" s="2"/>
      <c r="P46" s="5"/>
      <c r="Q46" s="7"/>
      <c r="R46" s="8"/>
      <c r="S46" s="5"/>
      <c r="U46" s="5"/>
    </row>
    <row r="47" spans="1:21" ht="15" customHeight="1">
      <c r="A47" s="3"/>
      <c r="B47" s="2"/>
      <c r="C47" s="2"/>
      <c r="D47" s="11"/>
      <c r="E47" s="2"/>
      <c r="F47" s="2"/>
      <c r="G47" s="3"/>
      <c r="H47" s="5"/>
      <c r="I47" s="5"/>
      <c r="J47" s="5"/>
      <c r="K47" s="5"/>
      <c r="L47" s="2"/>
      <c r="M47" s="5"/>
      <c r="N47" s="2"/>
      <c r="O47" s="2"/>
      <c r="P47" s="2"/>
      <c r="Q47" s="33"/>
      <c r="R47" s="8"/>
      <c r="S47" s="5"/>
      <c r="U47" s="5"/>
    </row>
    <row r="48" spans="1:21" ht="15" customHeight="1">
      <c r="A48" s="3"/>
      <c r="B48" s="2"/>
      <c r="C48" s="2"/>
      <c r="D48" s="11"/>
      <c r="E48" s="2"/>
      <c r="F48" s="2"/>
      <c r="G48" s="3"/>
      <c r="H48" s="5"/>
      <c r="I48" s="5"/>
      <c r="J48" s="5"/>
      <c r="K48" s="5"/>
      <c r="L48" s="2"/>
      <c r="M48" s="5"/>
      <c r="N48" s="2"/>
      <c r="O48" s="2"/>
      <c r="P48" s="5"/>
      <c r="Q48" s="7"/>
      <c r="R48" s="8"/>
      <c r="S48" s="5"/>
      <c r="U48" s="5"/>
    </row>
    <row r="49" spans="1:15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5"/>
      <c r="O49" s="5"/>
    </row>
    <row r="50" spans="1:15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5"/>
      <c r="O50" s="5"/>
    </row>
    <row r="51" spans="1:15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5"/>
      <c r="O51" s="5"/>
    </row>
    <row r="52" spans="1:15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5"/>
      <c r="O52" s="5"/>
    </row>
    <row r="53" spans="1:15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5"/>
      <c r="O53" s="5"/>
    </row>
    <row r="54" spans="1:15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"/>
      <c r="O54" s="5"/>
    </row>
    <row r="55" spans="1:15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"/>
      <c r="O55" s="5"/>
    </row>
    <row r="56" spans="1:15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5"/>
      <c r="O56" s="5"/>
    </row>
    <row r="57" spans="1:15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5"/>
      <c r="O57" s="5"/>
    </row>
    <row r="58" spans="1:15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5"/>
      <c r="O58" s="5"/>
    </row>
    <row r="59" spans="1:15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"/>
      <c r="O59" s="5"/>
    </row>
    <row r="60" spans="1:15" ht="1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5"/>
      <c r="O60" s="5"/>
    </row>
    <row r="61" spans="1:15" ht="1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5"/>
      <c r="O61" s="5"/>
    </row>
    <row r="62" spans="1:15" ht="1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5"/>
      <c r="O62" s="5"/>
    </row>
    <row r="63" spans="1:15" ht="1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5"/>
      <c r="O63" s="5"/>
    </row>
    <row r="64" spans="1:15" ht="1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5"/>
      <c r="O64" s="5"/>
    </row>
    <row r="65" spans="1:15" ht="15" customHeight="1">
      <c r="A65" s="3"/>
      <c r="B65" s="2"/>
      <c r="C65" s="2"/>
      <c r="D65" s="11"/>
      <c r="E65" s="2"/>
      <c r="F65" s="2"/>
      <c r="G65" s="3"/>
      <c r="H65" s="5"/>
      <c r="I65" s="5"/>
      <c r="J65" s="5"/>
      <c r="K65" s="5"/>
      <c r="L65" s="2"/>
      <c r="M65" s="5"/>
      <c r="N65" s="5"/>
      <c r="O65" s="5"/>
    </row>
    <row r="66" spans="1:15" ht="15" customHeight="1">
      <c r="A66" s="3"/>
      <c r="B66" s="2"/>
      <c r="C66" s="2"/>
      <c r="D66" s="11"/>
      <c r="E66" s="2"/>
      <c r="F66" s="2"/>
      <c r="G66" s="3"/>
      <c r="H66" s="5"/>
      <c r="I66" s="5"/>
      <c r="J66" s="5"/>
      <c r="K66" s="5"/>
      <c r="L66" s="2"/>
      <c r="M66" s="5"/>
      <c r="N66" s="5"/>
      <c r="O66" s="5"/>
    </row>
    <row r="67" spans="1:15" ht="15" customHeight="1">
      <c r="A67" s="3"/>
      <c r="B67" s="2"/>
      <c r="C67" s="2"/>
      <c r="D67" s="11"/>
      <c r="E67" s="2"/>
      <c r="F67" s="2"/>
      <c r="G67" s="3"/>
      <c r="H67" s="5"/>
      <c r="I67" s="5"/>
      <c r="J67" s="5"/>
      <c r="K67" s="5"/>
      <c r="L67" s="2"/>
      <c r="M67" s="5"/>
      <c r="N67" s="5"/>
      <c r="O67" s="5"/>
    </row>
    <row r="68" spans="1:15" ht="15" customHeight="1">
      <c r="A68" s="3"/>
      <c r="B68" s="2"/>
      <c r="C68" s="2"/>
      <c r="D68" s="11"/>
      <c r="E68" s="2"/>
      <c r="F68" s="2"/>
      <c r="G68" s="3"/>
      <c r="H68" s="5"/>
      <c r="I68" s="5"/>
      <c r="J68" s="5"/>
      <c r="K68" s="5"/>
      <c r="L68" s="2"/>
      <c r="M68" s="5"/>
      <c r="N68" s="5"/>
      <c r="O68" s="5"/>
    </row>
    <row r="69" spans="1:15" ht="15" customHeight="1">
      <c r="A69" s="3"/>
      <c r="B69" s="2"/>
      <c r="C69" s="2"/>
      <c r="D69" s="11"/>
      <c r="E69" s="2"/>
      <c r="F69" s="2"/>
      <c r="G69" s="3"/>
      <c r="H69" s="5"/>
      <c r="I69" s="5"/>
      <c r="J69" s="5"/>
      <c r="K69" s="5"/>
      <c r="L69" s="2"/>
      <c r="M69" s="5"/>
      <c r="N69" s="5"/>
      <c r="O69" s="5"/>
    </row>
    <row r="70" spans="1:15" ht="15" customHeight="1">
      <c r="A70" s="4"/>
      <c r="B70" s="5"/>
      <c r="C70" s="3"/>
      <c r="D70" s="11"/>
      <c r="E70" s="2"/>
      <c r="F70" s="2"/>
      <c r="G70" s="3"/>
      <c r="H70" s="5"/>
      <c r="I70" s="5"/>
      <c r="J70" s="5"/>
      <c r="K70" s="5"/>
      <c r="L70" s="2"/>
      <c r="M70" s="2"/>
      <c r="N70" s="2"/>
      <c r="O70" s="2"/>
    </row>
    <row r="71" spans="1:15" ht="15" customHeight="1">
      <c r="A71" s="8"/>
      <c r="B71" s="2"/>
      <c r="C71" s="14"/>
      <c r="D71" s="11"/>
      <c r="E71" s="2"/>
      <c r="F71" s="2"/>
      <c r="G71" s="3"/>
      <c r="H71" s="5"/>
      <c r="I71" s="5"/>
      <c r="J71" s="5"/>
      <c r="K71" s="2"/>
      <c r="L71" s="2"/>
      <c r="M71" s="2"/>
      <c r="N71" s="2"/>
      <c r="O71" s="2"/>
    </row>
    <row r="72" spans="1:15" ht="15" customHeight="1">
      <c r="A72" s="5"/>
      <c r="B72" s="5"/>
      <c r="C72" s="5"/>
      <c r="D72" s="11"/>
      <c r="E72" s="2"/>
      <c r="F72" s="2"/>
      <c r="G72" s="3"/>
      <c r="H72" s="5"/>
      <c r="I72" s="5"/>
      <c r="J72" s="5"/>
      <c r="K72" s="5"/>
      <c r="L72" s="2"/>
      <c r="M72" s="2"/>
      <c r="N72" s="2"/>
      <c r="O72" s="2"/>
    </row>
    <row r="73" spans="1:15" ht="15" customHeight="1">
      <c r="A73" s="35"/>
      <c r="B73" s="4"/>
      <c r="C73" s="4"/>
      <c r="D73" s="11"/>
      <c r="E73" s="2"/>
      <c r="F73" s="2"/>
      <c r="G73" s="3"/>
      <c r="H73" s="5"/>
      <c r="I73" s="5"/>
      <c r="J73" s="5"/>
      <c r="K73" s="2"/>
      <c r="L73" s="11"/>
      <c r="M73" s="2"/>
      <c r="N73" s="2"/>
      <c r="O73" s="2"/>
    </row>
    <row r="74" spans="1:15" ht="15" customHeight="1">
      <c r="A74" s="22"/>
      <c r="B74" s="4"/>
      <c r="C74" s="4"/>
      <c r="D74" s="11"/>
      <c r="E74" s="2"/>
      <c r="F74" s="2"/>
      <c r="G74" s="3"/>
      <c r="H74" s="5"/>
      <c r="I74" s="5"/>
      <c r="J74" s="5"/>
      <c r="K74" s="5"/>
      <c r="L74" s="2"/>
      <c r="M74" s="2"/>
      <c r="N74" s="2"/>
      <c r="O74" s="2"/>
    </row>
    <row r="75" spans="1:15" ht="15" customHeight="1">
      <c r="A75" s="22"/>
      <c r="B75" s="4"/>
      <c r="C75" s="4"/>
      <c r="D75" s="11"/>
      <c r="E75" s="2"/>
      <c r="F75" s="2"/>
      <c r="G75" s="3"/>
      <c r="H75" s="5"/>
      <c r="I75" s="5"/>
      <c r="J75" s="5"/>
      <c r="K75" s="5"/>
      <c r="L75" s="2"/>
      <c r="M75" s="2"/>
      <c r="N75" s="2"/>
      <c r="O75" s="2"/>
    </row>
    <row r="76" spans="1:15" ht="15" customHeight="1">
      <c r="A76" s="22"/>
      <c r="B76" s="4"/>
      <c r="C76" s="4"/>
      <c r="D76" s="11"/>
      <c r="E76" s="2"/>
      <c r="F76" s="2"/>
      <c r="G76" s="3"/>
      <c r="H76" s="5"/>
      <c r="I76" s="5"/>
      <c r="J76" s="5"/>
      <c r="K76" s="5"/>
      <c r="L76" s="2"/>
      <c r="M76" s="2"/>
      <c r="N76" s="2"/>
      <c r="O76" s="2"/>
    </row>
    <row r="77" spans="1:15" ht="15" customHeight="1">
      <c r="A77" s="22"/>
      <c r="B77" s="4"/>
      <c r="C77" s="4"/>
      <c r="D77" s="11"/>
      <c r="E77" s="2"/>
      <c r="F77" s="2"/>
      <c r="G77" s="3"/>
      <c r="H77" s="5"/>
      <c r="I77" s="5"/>
      <c r="J77" s="5"/>
      <c r="K77" s="5"/>
      <c r="L77" s="2"/>
      <c r="M77" s="2"/>
      <c r="N77" s="2"/>
      <c r="O77" s="2"/>
    </row>
    <row r="78" spans="1:15" ht="15" customHeight="1">
      <c r="A78" s="22"/>
      <c r="B78" s="4"/>
      <c r="C78" s="4"/>
      <c r="D78" s="11"/>
      <c r="E78" s="2"/>
      <c r="F78" s="2"/>
      <c r="G78" s="3"/>
      <c r="H78" s="5"/>
      <c r="I78" s="5"/>
      <c r="J78" s="5"/>
      <c r="K78" s="5"/>
      <c r="L78" s="2"/>
      <c r="M78" s="2"/>
      <c r="N78" s="2"/>
      <c r="O78" s="2"/>
    </row>
    <row r="79" spans="1:15" ht="15" customHeight="1">
      <c r="A79" s="22"/>
      <c r="B79" s="4"/>
      <c r="C79" s="4"/>
      <c r="D79" s="11"/>
      <c r="E79" s="2"/>
      <c r="F79" s="2"/>
      <c r="G79" s="3"/>
      <c r="H79" s="5"/>
      <c r="I79" s="5"/>
      <c r="J79" s="5"/>
      <c r="K79" s="5"/>
      <c r="L79" s="2"/>
      <c r="M79" s="2"/>
      <c r="N79" s="2"/>
      <c r="O79" s="2"/>
    </row>
    <row r="80" spans="1:15" ht="15" customHeight="1">
      <c r="A80" s="22"/>
      <c r="B80" s="4"/>
      <c r="C80" s="4"/>
      <c r="D80" s="11"/>
      <c r="E80" s="2"/>
      <c r="F80" s="2"/>
      <c r="G80" s="3"/>
      <c r="H80" s="5"/>
      <c r="I80" s="5"/>
      <c r="J80" s="5"/>
      <c r="K80" s="5"/>
      <c r="L80" s="2"/>
      <c r="M80" s="2"/>
      <c r="N80" s="2"/>
      <c r="O80" s="2"/>
    </row>
    <row r="81" spans="1:15" ht="15" customHeight="1">
      <c r="A81" s="22"/>
      <c r="B81" s="4"/>
      <c r="C81" s="4"/>
      <c r="D81" s="11"/>
      <c r="E81" s="2"/>
      <c r="F81" s="2"/>
      <c r="G81" s="3"/>
      <c r="H81" s="5"/>
      <c r="I81" s="5"/>
      <c r="J81" s="5"/>
      <c r="K81" s="5"/>
      <c r="L81" s="2"/>
      <c r="M81" s="2"/>
      <c r="N81" s="2"/>
      <c r="O81" s="2"/>
    </row>
    <row r="82" spans="1:15" ht="15" customHeight="1">
      <c r="A82" s="22"/>
      <c r="B82" s="4"/>
      <c r="C82" s="4"/>
      <c r="D82" s="11"/>
      <c r="E82" s="2"/>
      <c r="F82" s="2"/>
      <c r="G82" s="3"/>
      <c r="H82" s="5"/>
      <c r="I82" s="5"/>
      <c r="J82" s="5"/>
      <c r="K82" s="5"/>
      <c r="L82" s="2"/>
      <c r="M82" s="2"/>
      <c r="N82" s="2"/>
      <c r="O82" s="2"/>
    </row>
    <row r="83" spans="1:15" ht="15" customHeight="1">
      <c r="A83" s="22"/>
      <c r="B83" s="4"/>
      <c r="C83" s="4"/>
      <c r="D83" s="11"/>
      <c r="E83" s="2"/>
      <c r="F83" s="2"/>
      <c r="G83" s="3"/>
      <c r="H83" s="5"/>
      <c r="I83" s="5"/>
      <c r="J83" s="5"/>
      <c r="K83" s="5"/>
      <c r="L83" s="2"/>
      <c r="M83" s="2"/>
      <c r="N83" s="2"/>
      <c r="O83" s="2"/>
    </row>
    <row r="84" spans="1:15" ht="15" customHeight="1">
      <c r="A84" s="3"/>
      <c r="B84" s="2"/>
      <c r="C84" s="2"/>
      <c r="D84" s="11"/>
      <c r="E84" s="2"/>
      <c r="F84" s="2"/>
      <c r="G84" s="3"/>
      <c r="H84" s="5"/>
      <c r="I84" s="5"/>
      <c r="J84" s="5"/>
      <c r="K84" s="5"/>
      <c r="L84" s="2"/>
      <c r="M84" s="36"/>
      <c r="N84" s="5"/>
      <c r="O84" s="5"/>
    </row>
    <row r="85" spans="1:15" ht="15" customHeight="1">
      <c r="A85" s="3"/>
      <c r="B85" s="2"/>
      <c r="C85" s="2"/>
      <c r="D85" s="11"/>
      <c r="E85" s="2"/>
      <c r="F85" s="2"/>
      <c r="G85" s="3"/>
      <c r="H85" s="5"/>
      <c r="I85" s="5"/>
      <c r="J85" s="5"/>
      <c r="K85" s="5"/>
      <c r="L85" s="2"/>
      <c r="M85" s="36"/>
      <c r="N85" s="5"/>
      <c r="O85" s="5"/>
    </row>
    <row r="86" spans="1:15" ht="15" customHeight="1">
      <c r="A86" s="3"/>
      <c r="B86" s="2"/>
      <c r="C86" s="2"/>
      <c r="D86" s="11"/>
      <c r="E86" s="2"/>
      <c r="F86" s="2"/>
      <c r="G86" s="3"/>
      <c r="H86" s="5"/>
      <c r="I86" s="5"/>
      <c r="J86" s="5"/>
      <c r="K86" s="5"/>
      <c r="L86" s="2"/>
      <c r="M86" s="5"/>
      <c r="N86" s="5"/>
      <c r="O86" s="5"/>
    </row>
    <row r="87" spans="1:15" ht="15" customHeight="1">
      <c r="A87" s="3"/>
      <c r="B87" s="2"/>
      <c r="C87" s="2"/>
      <c r="D87" s="11"/>
      <c r="E87" s="2"/>
      <c r="F87" s="2"/>
      <c r="G87" s="3"/>
      <c r="H87" s="5"/>
      <c r="I87" s="5"/>
      <c r="J87" s="5"/>
      <c r="K87" s="5"/>
      <c r="L87" s="2"/>
      <c r="M87" s="5"/>
      <c r="N87" s="5"/>
      <c r="O87" s="5"/>
    </row>
    <row r="88" spans="1:15" ht="15" customHeight="1">
      <c r="A88" s="3"/>
      <c r="B88" s="2"/>
      <c r="C88" s="2"/>
      <c r="D88" s="11"/>
      <c r="E88" s="2"/>
      <c r="F88" s="2"/>
      <c r="G88" s="3"/>
      <c r="H88" s="5"/>
      <c r="I88" s="5"/>
      <c r="J88" s="5"/>
      <c r="K88" s="5"/>
      <c r="L88" s="2"/>
      <c r="M88" s="5"/>
      <c r="N88" s="5"/>
      <c r="O88" s="5"/>
    </row>
    <row r="89" spans="1:15" ht="15" customHeight="1">
      <c r="A89" s="3"/>
      <c r="B89" s="2"/>
      <c r="C89" s="2"/>
      <c r="D89" s="11"/>
      <c r="E89" s="2"/>
      <c r="F89" s="2"/>
      <c r="G89" s="3"/>
      <c r="H89" s="5"/>
      <c r="I89" s="5"/>
      <c r="J89" s="5"/>
      <c r="K89" s="5"/>
      <c r="L89" s="2"/>
      <c r="M89" s="5"/>
      <c r="N89" s="5"/>
      <c r="O89" s="5"/>
    </row>
    <row r="90" spans="1:15" ht="15" customHeight="1">
      <c r="A90" s="3"/>
      <c r="B90" s="2"/>
      <c r="C90" s="2"/>
      <c r="D90" s="11"/>
      <c r="E90" s="2"/>
      <c r="F90" s="2"/>
      <c r="G90" s="3"/>
      <c r="H90" s="5"/>
      <c r="I90" s="5"/>
      <c r="J90" s="5"/>
      <c r="K90" s="5"/>
      <c r="L90" s="2"/>
      <c r="M90" s="5"/>
      <c r="N90" s="5"/>
      <c r="O90" s="5"/>
    </row>
    <row r="91" spans="1:15" ht="15" customHeight="1">
      <c r="A91" s="3"/>
      <c r="B91" s="2"/>
      <c r="C91" s="2"/>
      <c r="D91" s="11"/>
      <c r="E91" s="2"/>
      <c r="F91" s="2"/>
      <c r="G91" s="3"/>
      <c r="H91" s="5"/>
      <c r="I91" s="5"/>
      <c r="J91" s="5"/>
      <c r="K91" s="5"/>
      <c r="L91" s="2"/>
      <c r="M91" s="5"/>
      <c r="N91" s="5"/>
      <c r="O91" s="5"/>
    </row>
    <row r="92" spans="1:15" ht="15" customHeight="1">
      <c r="A92" s="3"/>
      <c r="B92" s="2"/>
      <c r="C92" s="2"/>
      <c r="D92" s="11"/>
      <c r="E92" s="2"/>
      <c r="F92" s="2"/>
      <c r="G92" s="3"/>
      <c r="H92" s="5"/>
      <c r="I92" s="5"/>
      <c r="J92" s="5"/>
      <c r="K92" s="5"/>
      <c r="L92" s="2"/>
      <c r="M92" s="5"/>
      <c r="N92" s="5"/>
      <c r="O92" s="5"/>
    </row>
    <row r="93" spans="1:15" ht="15" customHeight="1">
      <c r="A93" s="3"/>
      <c r="B93" s="2"/>
      <c r="C93" s="2"/>
      <c r="D93" s="11"/>
      <c r="E93" s="2"/>
      <c r="F93" s="2"/>
      <c r="G93" s="3"/>
      <c r="H93" s="5"/>
      <c r="I93" s="5"/>
      <c r="J93" s="5"/>
      <c r="K93" s="5"/>
      <c r="L93" s="2"/>
      <c r="M93" s="5"/>
      <c r="N93" s="5"/>
      <c r="O93" s="5"/>
    </row>
    <row r="94" spans="1:15" ht="15" customHeight="1">
      <c r="A94" s="3"/>
      <c r="B94" s="2"/>
      <c r="C94" s="2"/>
      <c r="D94" s="11"/>
      <c r="E94" s="2"/>
      <c r="F94" s="2"/>
      <c r="G94" s="3"/>
      <c r="H94" s="5"/>
      <c r="I94" s="5"/>
      <c r="J94" s="5"/>
      <c r="K94" s="5"/>
      <c r="L94" s="2"/>
      <c r="M94" s="5"/>
      <c r="N94" s="5"/>
      <c r="O94" s="5"/>
    </row>
    <row r="95" spans="1:15" ht="15" customHeight="1">
      <c r="A95" s="3"/>
      <c r="B95" s="2"/>
      <c r="C95" s="2"/>
      <c r="D95" s="11"/>
      <c r="E95" s="2"/>
      <c r="F95" s="2"/>
      <c r="G95" s="3"/>
      <c r="H95" s="5"/>
      <c r="I95" s="5"/>
      <c r="J95" s="5"/>
      <c r="K95" s="5"/>
      <c r="L95" s="2"/>
      <c r="M95" s="5"/>
      <c r="N95" s="5"/>
      <c r="O95" s="5"/>
    </row>
    <row r="96" spans="1:15" ht="15" customHeight="1">
      <c r="A96" s="3"/>
      <c r="B96" s="2"/>
      <c r="C96" s="2"/>
      <c r="D96" s="11"/>
      <c r="E96" s="2"/>
      <c r="F96" s="2"/>
      <c r="G96" s="3"/>
      <c r="H96" s="5"/>
      <c r="I96" s="5"/>
      <c r="J96" s="5"/>
      <c r="K96" s="5"/>
      <c r="L96" s="2"/>
      <c r="M96" s="5"/>
      <c r="N96" s="5"/>
      <c r="O9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6"/>
  <sheetViews>
    <sheetView showGridLines="0" showOutlineSymbols="0" zoomScale="70" zoomScaleNormal="70" workbookViewId="0" topLeftCell="A1">
      <selection activeCell="K6" sqref="K6"/>
    </sheetView>
  </sheetViews>
  <sheetFormatPr defaultColWidth="9.140625" defaultRowHeight="12.75"/>
  <cols>
    <col min="1" max="1" width="13.421875" style="6" customWidth="1"/>
    <col min="2" max="2" width="10.7109375" style="6" customWidth="1"/>
    <col min="3" max="3" width="10.421875" style="6" customWidth="1"/>
    <col min="4" max="4" width="15.57421875" style="6" customWidth="1"/>
    <col min="5" max="5" width="10.7109375" style="6" customWidth="1"/>
    <col min="6" max="7" width="6.57421875" style="6" customWidth="1"/>
    <col min="8" max="11" width="7.7109375" style="6" customWidth="1"/>
    <col min="12" max="12" width="6.57421875" style="6" customWidth="1"/>
    <col min="13" max="16" width="7.7109375" style="6" customWidth="1"/>
    <col min="17" max="17" width="8.421875" style="12" customWidth="1"/>
    <col min="18" max="18" width="6.00390625" style="6" customWidth="1"/>
    <col min="19" max="19" width="6.57421875" style="6" customWidth="1"/>
    <col min="20" max="20" width="7.28125" style="9" customWidth="1"/>
    <col min="21" max="21" width="7.421875" style="6" customWidth="1"/>
    <col min="22" max="22" width="7.7109375" style="6" customWidth="1"/>
    <col min="23" max="23" width="11.140625" style="17" customWidth="1"/>
    <col min="24" max="24" width="8.8515625" style="17" customWidth="1"/>
    <col min="25" max="25" width="8.140625" style="6" customWidth="1"/>
    <col min="26" max="26" width="7.57421875" style="6" customWidth="1"/>
    <col min="27" max="31" width="10.00390625" style="6" customWidth="1"/>
    <col min="32" max="16384" width="11.140625" style="6" customWidth="1"/>
  </cols>
  <sheetData>
    <row r="1" spans="1:31" ht="15">
      <c r="A1" s="1" t="s">
        <v>0</v>
      </c>
      <c r="B1" s="2"/>
      <c r="C1" s="2"/>
      <c r="D1" s="2"/>
      <c r="E1" s="2" t="s">
        <v>79</v>
      </c>
      <c r="F1" s="2" t="s">
        <v>70</v>
      </c>
      <c r="G1" s="2"/>
      <c r="H1" s="3" t="s">
        <v>78</v>
      </c>
      <c r="I1" s="4" t="s">
        <v>3</v>
      </c>
      <c r="J1" s="5"/>
      <c r="N1" s="5"/>
      <c r="O1" s="5"/>
      <c r="P1" s="5"/>
      <c r="Q1" s="7"/>
      <c r="R1" s="8"/>
      <c r="S1" s="5"/>
      <c r="U1" s="5"/>
      <c r="V1" s="2"/>
      <c r="W1" s="8"/>
      <c r="X1" s="8"/>
      <c r="Y1" s="2"/>
      <c r="Z1" s="2"/>
      <c r="AA1" s="2"/>
      <c r="AB1" s="2"/>
      <c r="AC1" s="2"/>
      <c r="AD1" s="2"/>
      <c r="AE1" s="2"/>
    </row>
    <row r="2" spans="1:31" ht="15.75">
      <c r="A2" s="3" t="s">
        <v>4</v>
      </c>
      <c r="B2" s="10" t="s">
        <v>5</v>
      </c>
      <c r="C2" s="2"/>
      <c r="D2" s="11"/>
      <c r="E2" s="2"/>
      <c r="F2" s="2"/>
      <c r="G2" s="3"/>
      <c r="I2" s="5"/>
      <c r="J2" s="5"/>
      <c r="M2" s="2"/>
      <c r="N2" s="3" t="s">
        <v>6</v>
      </c>
      <c r="O2" s="58">
        <f>1000/$O$6</f>
        <v>0.72</v>
      </c>
      <c r="R2" s="8"/>
      <c r="S2" s="5"/>
      <c r="U2" s="5"/>
      <c r="V2" s="2"/>
      <c r="W2" s="8"/>
      <c r="X2" s="8"/>
      <c r="Y2" s="2"/>
      <c r="Z2" s="2"/>
      <c r="AA2" s="2"/>
      <c r="AB2" s="2"/>
      <c r="AC2" s="2"/>
      <c r="AD2" s="2"/>
      <c r="AE2" s="2"/>
    </row>
    <row r="3" spans="1:31" ht="15" customHeight="1">
      <c r="A3" s="2"/>
      <c r="B3" s="2"/>
      <c r="C3" s="2"/>
      <c r="D3" s="2"/>
      <c r="E3" s="2"/>
      <c r="F3" s="2"/>
      <c r="G3" s="2"/>
      <c r="H3" s="2"/>
      <c r="I3" s="5"/>
      <c r="J3" s="5"/>
      <c r="K3" s="2"/>
      <c r="M3" s="2"/>
      <c r="N3" s="3" t="s">
        <v>7</v>
      </c>
      <c r="O3" s="58">
        <f>IF($B$4&gt;1000,$E$7/1.5,$E$7/3.5)</f>
        <v>1</v>
      </c>
      <c r="R3" s="8"/>
      <c r="S3" s="5"/>
      <c r="U3" s="5"/>
      <c r="V3" s="2"/>
      <c r="W3" s="8"/>
      <c r="X3" s="8"/>
      <c r="Y3" s="2"/>
      <c r="Z3" s="2"/>
      <c r="AA3" s="2"/>
      <c r="AB3" s="2"/>
      <c r="AC3" s="2"/>
      <c r="AD3" s="2"/>
      <c r="AE3" s="2"/>
    </row>
    <row r="4" spans="1:31" ht="15" customHeight="1">
      <c r="A4" s="3" t="s">
        <v>71</v>
      </c>
      <c r="B4" s="66">
        <v>1270</v>
      </c>
      <c r="C4" s="2"/>
      <c r="D4" s="11" t="s">
        <v>8</v>
      </c>
      <c r="E4" s="14">
        <v>400</v>
      </c>
      <c r="H4" s="2"/>
      <c r="I4" s="3" t="s">
        <v>9</v>
      </c>
      <c r="J4" s="13">
        <v>0.55</v>
      </c>
      <c r="N4" s="3" t="s">
        <v>10</v>
      </c>
      <c r="O4" s="49">
        <f>B7*1.518</f>
        <v>0.39468000000000003</v>
      </c>
      <c r="P4" s="2" t="s">
        <v>11</v>
      </c>
      <c r="Q4" s="1" t="s">
        <v>12</v>
      </c>
      <c r="R4" s="7"/>
      <c r="S4" s="5"/>
      <c r="U4" s="5"/>
      <c r="V4" s="2"/>
      <c r="W4" s="8"/>
      <c r="X4" s="8"/>
      <c r="Y4" s="2"/>
      <c r="Z4" s="2"/>
      <c r="AA4" s="2"/>
      <c r="AB4" s="2"/>
      <c r="AC4" s="2"/>
      <c r="AD4" s="2"/>
      <c r="AE4" s="2"/>
    </row>
    <row r="5" spans="1:31" ht="15" customHeight="1">
      <c r="A5" s="3" t="s">
        <v>13</v>
      </c>
      <c r="B5" s="15">
        <v>4</v>
      </c>
      <c r="C5" s="2"/>
      <c r="D5" s="11" t="s">
        <v>14</v>
      </c>
      <c r="E5" s="14">
        <v>0.11</v>
      </c>
      <c r="H5" s="2"/>
      <c r="I5" s="3" t="s">
        <v>15</v>
      </c>
      <c r="J5" s="13">
        <v>0.01</v>
      </c>
      <c r="K5" s="5"/>
      <c r="L5" s="2"/>
      <c r="M5" s="5"/>
      <c r="N5" s="3" t="s">
        <v>16</v>
      </c>
      <c r="O5" s="58">
        <v>0.7</v>
      </c>
      <c r="Q5" s="1" t="s">
        <v>17</v>
      </c>
      <c r="R5" s="7"/>
      <c r="U5" s="5"/>
      <c r="V5" s="2"/>
      <c r="W5" s="8"/>
      <c r="X5" s="8"/>
      <c r="Y5" s="2"/>
      <c r="Z5" s="2"/>
      <c r="AA5" s="2"/>
      <c r="AB5" s="2"/>
      <c r="AC5" s="2"/>
      <c r="AD5" s="2"/>
      <c r="AE5" s="2"/>
    </row>
    <row r="6" spans="1:31" ht="15" customHeight="1">
      <c r="A6" s="3" t="s">
        <v>18</v>
      </c>
      <c r="B6" s="14">
        <v>9</v>
      </c>
      <c r="C6" s="2"/>
      <c r="D6" s="11" t="s">
        <v>72</v>
      </c>
      <c r="E6" s="14">
        <v>1320</v>
      </c>
      <c r="H6" s="2"/>
      <c r="I6" s="3" t="s">
        <v>19</v>
      </c>
      <c r="J6" s="16">
        <v>480</v>
      </c>
      <c r="K6" s="6" t="s">
        <v>81</v>
      </c>
      <c r="M6" s="5"/>
      <c r="N6" s="11" t="s">
        <v>20</v>
      </c>
      <c r="O6" s="62">
        <f>(O7)</f>
        <v>1388.888888888889</v>
      </c>
      <c r="P6" s="8"/>
      <c r="Q6" s="5"/>
      <c r="U6" s="5"/>
      <c r="V6" s="2"/>
      <c r="W6" s="8"/>
      <c r="Z6" s="2"/>
      <c r="AA6" s="2"/>
      <c r="AB6" s="2"/>
      <c r="AC6" s="2"/>
      <c r="AD6" s="2"/>
      <c r="AE6" s="2"/>
    </row>
    <row r="7" spans="1:31" ht="15" customHeight="1">
      <c r="A7" s="3" t="s">
        <v>21</v>
      </c>
      <c r="B7" s="14">
        <v>0.26</v>
      </c>
      <c r="C7" s="2" t="s">
        <v>11</v>
      </c>
      <c r="D7" s="11" t="s">
        <v>22</v>
      </c>
      <c r="E7" s="14">
        <v>1.5</v>
      </c>
      <c r="H7" s="2"/>
      <c r="I7" s="3" t="s">
        <v>23</v>
      </c>
      <c r="J7" s="15">
        <v>7.037</v>
      </c>
      <c r="K7" s="5"/>
      <c r="M7" s="5"/>
      <c r="N7" s="11" t="s">
        <v>24</v>
      </c>
      <c r="O7" s="63">
        <f>1/((1/$E$8)-$J$9*10^-6)</f>
        <v>1388.888888888889</v>
      </c>
      <c r="P7" s="8"/>
      <c r="Q7" s="5"/>
      <c r="U7" s="5"/>
      <c r="V7" s="2"/>
      <c r="Z7" s="2"/>
      <c r="AA7" s="2"/>
      <c r="AB7" s="2"/>
      <c r="AC7" s="2"/>
      <c r="AD7" s="2"/>
      <c r="AE7" s="2"/>
    </row>
    <row r="8" spans="1:31" ht="15" customHeight="1">
      <c r="A8" s="3" t="s">
        <v>25</v>
      </c>
      <c r="B8" s="14">
        <v>-120</v>
      </c>
      <c r="C8" s="2"/>
      <c r="D8" s="3" t="s">
        <v>26</v>
      </c>
      <c r="E8" s="18">
        <v>1250</v>
      </c>
      <c r="F8" s="2"/>
      <c r="G8" s="5"/>
      <c r="H8" s="5"/>
      <c r="I8" s="11" t="s">
        <v>27</v>
      </c>
      <c r="J8" s="16">
        <f>2.5*10^5/$E$8</f>
        <v>200</v>
      </c>
      <c r="N8" s="3" t="s">
        <v>28</v>
      </c>
      <c r="O8" s="64">
        <f>(10^-6)*$J$8*$O$7</f>
        <v>0.27777777777777773</v>
      </c>
      <c r="P8" s="8"/>
      <c r="Q8" s="5"/>
      <c r="U8" s="5"/>
      <c r="V8" s="2"/>
      <c r="W8" s="8"/>
      <c r="X8" s="8"/>
      <c r="Y8" s="2"/>
      <c r="Z8" s="2"/>
      <c r="AA8" s="2"/>
      <c r="AB8" s="2"/>
      <c r="AC8" s="2"/>
      <c r="AD8" s="2"/>
      <c r="AE8" s="2"/>
    </row>
    <row r="9" spans="1:31" ht="15" customHeight="1">
      <c r="A9" s="3" t="s">
        <v>29</v>
      </c>
      <c r="B9" s="14">
        <v>0.8</v>
      </c>
      <c r="C9" s="2"/>
      <c r="D9" s="11" t="s">
        <v>30</v>
      </c>
      <c r="E9" s="14">
        <v>1000</v>
      </c>
      <c r="F9" s="2"/>
      <c r="G9" s="5"/>
      <c r="I9" s="11" t="s">
        <v>31</v>
      </c>
      <c r="J9" s="14">
        <v>80</v>
      </c>
      <c r="K9" s="5"/>
      <c r="M9" s="5"/>
      <c r="N9" s="3" t="s">
        <v>32</v>
      </c>
      <c r="O9" s="65">
        <f>(O8)</f>
        <v>0.27777777777777773</v>
      </c>
      <c r="P9" s="8"/>
      <c r="Q9" s="5"/>
      <c r="U9" s="5"/>
      <c r="V9" s="2"/>
      <c r="X9" s="8"/>
      <c r="Y9" s="2"/>
      <c r="Z9" s="2"/>
      <c r="AA9" s="2"/>
      <c r="AB9" s="2"/>
      <c r="AC9" s="2"/>
      <c r="AD9" s="2"/>
      <c r="AE9" s="2"/>
    </row>
    <row r="10" spans="1:31" ht="15" customHeight="1">
      <c r="A10" s="3" t="s">
        <v>33</v>
      </c>
      <c r="B10" s="14">
        <v>1</v>
      </c>
      <c r="C10" s="2"/>
      <c r="D10" s="11" t="s">
        <v>34</v>
      </c>
      <c r="E10" s="14">
        <v>7.5</v>
      </c>
      <c r="F10" s="2"/>
      <c r="G10" s="2"/>
      <c r="I10" s="11" t="s">
        <v>35</v>
      </c>
      <c r="J10" s="19">
        <v>-11.5</v>
      </c>
      <c r="M10" s="5"/>
      <c r="N10" s="3" t="s">
        <v>36</v>
      </c>
      <c r="O10" s="51">
        <f>S34-R34</f>
        <v>3.1237891567243867</v>
      </c>
      <c r="P10" s="5" t="s">
        <v>37</v>
      </c>
      <c r="Q10" s="5"/>
      <c r="S10" s="5"/>
      <c r="U10" s="5"/>
      <c r="V10" s="2"/>
      <c r="W10" s="20" t="s">
        <v>38</v>
      </c>
      <c r="X10" s="8"/>
      <c r="Z10" s="2"/>
      <c r="AA10" s="2"/>
      <c r="AB10" s="2"/>
      <c r="AC10" s="2"/>
      <c r="AD10" s="2"/>
      <c r="AE10" s="2"/>
    </row>
    <row r="11" spans="1:31" ht="15" customHeight="1">
      <c r="A11" s="2"/>
      <c r="B11" s="2"/>
      <c r="C11" s="2"/>
      <c r="D11" s="11" t="s">
        <v>39</v>
      </c>
      <c r="E11" s="14">
        <v>1.5</v>
      </c>
      <c r="F11" s="2"/>
      <c r="G11" s="3"/>
      <c r="I11" s="3" t="s">
        <v>40</v>
      </c>
      <c r="J11" s="21">
        <v>9</v>
      </c>
      <c r="K11" s="22"/>
      <c r="L11" s="22"/>
      <c r="M11" s="22"/>
      <c r="N11" s="22"/>
      <c r="O11" s="23"/>
      <c r="P11" s="22"/>
      <c r="Q11" s="23"/>
      <c r="R11" s="22"/>
      <c r="S11" s="22"/>
      <c r="U11" s="22"/>
      <c r="V11" s="2"/>
      <c r="W11" s="20" t="s">
        <v>41</v>
      </c>
      <c r="X11" s="8" t="s">
        <v>42</v>
      </c>
      <c r="Z11" s="24" t="s">
        <v>43</v>
      </c>
      <c r="AA11" s="2"/>
      <c r="AB11" s="2"/>
      <c r="AC11" s="2"/>
      <c r="AD11" s="2"/>
      <c r="AE11" s="2"/>
    </row>
    <row r="12" spans="1:31" ht="15" customHeight="1">
      <c r="A12" s="2"/>
      <c r="B12" s="8" t="s">
        <v>73</v>
      </c>
      <c r="C12" s="8" t="s">
        <v>51</v>
      </c>
      <c r="D12" s="2"/>
      <c r="E12" s="2"/>
      <c r="F12" s="2"/>
      <c r="G12" s="3"/>
      <c r="H12" s="25" t="s">
        <v>44</v>
      </c>
      <c r="I12" s="11" t="s">
        <v>44</v>
      </c>
      <c r="J12" s="2"/>
      <c r="K12" s="5"/>
      <c r="L12" s="11" t="s">
        <v>44</v>
      </c>
      <c r="M12" s="11"/>
      <c r="N12" s="11" t="s">
        <v>44</v>
      </c>
      <c r="O12" s="11" t="s">
        <v>44</v>
      </c>
      <c r="P12" s="11" t="s">
        <v>44</v>
      </c>
      <c r="Q12" s="26" t="s">
        <v>44</v>
      </c>
      <c r="R12" s="8" t="s">
        <v>44</v>
      </c>
      <c r="S12" s="5" t="s">
        <v>44</v>
      </c>
      <c r="T12" s="4" t="s">
        <v>44</v>
      </c>
      <c r="U12" s="4" t="s">
        <v>45</v>
      </c>
      <c r="V12" s="27" t="s">
        <v>44</v>
      </c>
      <c r="W12" s="28" t="s">
        <v>46</v>
      </c>
      <c r="X12" s="8" t="s">
        <v>47</v>
      </c>
      <c r="Y12" s="24" t="s">
        <v>48</v>
      </c>
      <c r="Z12" s="8" t="s">
        <v>49</v>
      </c>
      <c r="AA12" s="2"/>
      <c r="AB12" s="2"/>
      <c r="AC12" s="2"/>
      <c r="AD12" s="2"/>
      <c r="AE12" s="2"/>
    </row>
    <row r="13" spans="1:31" ht="15" customHeight="1">
      <c r="A13" s="3" t="s">
        <v>50</v>
      </c>
      <c r="B13" s="8" t="s">
        <v>74</v>
      </c>
      <c r="C13" s="8" t="s">
        <v>74</v>
      </c>
      <c r="D13" s="29" t="s">
        <v>75</v>
      </c>
      <c r="E13" s="29" t="s">
        <v>76</v>
      </c>
      <c r="F13" s="2" t="s">
        <v>77</v>
      </c>
      <c r="G13" s="3" t="s">
        <v>52</v>
      </c>
      <c r="H13" s="25" t="s">
        <v>53</v>
      </c>
      <c r="I13" s="11" t="s">
        <v>54</v>
      </c>
      <c r="J13" s="8" t="s">
        <v>55</v>
      </c>
      <c r="K13" s="5" t="s">
        <v>56</v>
      </c>
      <c r="L13" s="11" t="s">
        <v>57</v>
      </c>
      <c r="M13" s="11" t="s">
        <v>58</v>
      </c>
      <c r="N13" s="11" t="s">
        <v>59</v>
      </c>
      <c r="O13" s="11" t="s">
        <v>60</v>
      </c>
      <c r="P13" s="11" t="s">
        <v>61</v>
      </c>
      <c r="Q13" s="26" t="s">
        <v>62</v>
      </c>
      <c r="R13" s="8" t="s">
        <v>63</v>
      </c>
      <c r="S13" s="30" t="s">
        <v>64</v>
      </c>
      <c r="T13" s="4" t="s">
        <v>65</v>
      </c>
      <c r="U13" s="5" t="s">
        <v>66</v>
      </c>
      <c r="V13" s="27" t="s">
        <v>47</v>
      </c>
      <c r="W13" s="8" t="s">
        <v>67</v>
      </c>
      <c r="X13" s="8" t="s">
        <v>68</v>
      </c>
      <c r="Y13" s="8" t="s">
        <v>69</v>
      </c>
      <c r="Z13" s="8" t="s">
        <v>69</v>
      </c>
      <c r="AA13" s="2"/>
      <c r="AB13" s="2"/>
      <c r="AC13" s="2"/>
      <c r="AD13" s="2"/>
      <c r="AE13" s="2"/>
    </row>
    <row r="14" spans="1:31" s="47" customFormat="1" ht="15" customHeight="1">
      <c r="A14" s="37">
        <f>$J$4</f>
        <v>0.55</v>
      </c>
      <c r="B14" s="40">
        <f aca="true" t="shared" si="0" ref="B14:B34">0.25*$E$5*$B$4*(1-($E$6/$B$4)^4)</f>
        <v>-5.833412074304454</v>
      </c>
      <c r="C14" s="68">
        <f aca="true" t="shared" si="1" ref="C14:C34">0.7*$E$5*$B$5</f>
        <v>0.308</v>
      </c>
      <c r="D14" s="39">
        <f aca="true" t="shared" si="2" ref="D14:D34">(0.187/(A14*$B$5))*(10^6/(B14^2+C14^2)^(0.5))</f>
        <v>14550.963666564592</v>
      </c>
      <c r="E14" s="39">
        <f aca="true" t="shared" si="3" ref="E14:E34">$E$4/A14</f>
        <v>727.2727272727273</v>
      </c>
      <c r="F14" s="40">
        <f aca="true" t="shared" si="4" ref="F14:F34">SQRT(($J$6/D14)^2+($J$6/E14)^2+$O$4^2)</f>
        <v>0.7697145431563591</v>
      </c>
      <c r="G14" s="37">
        <f aca="true" t="shared" si="5" ref="G14:G34">SQRT(F14^2+(350/$E$9)^2)</f>
        <v>0.8455533560612261</v>
      </c>
      <c r="H14" s="41">
        <f aca="true" t="shared" si="6" ref="H14:H34">-10*LOG10(1-1.425*EXP(-1.28*($O$2/G14)^2))</f>
        <v>3.5982727866219806</v>
      </c>
      <c r="I14" s="40">
        <f aca="true" t="shared" si="7" ref="I14:I34">A14*$O$3*((1/(0.00094*$B$4)^4)+1.05)</f>
        <v>0.8482923500564601</v>
      </c>
      <c r="J14" s="38">
        <f aca="true" t="shared" si="8" ref="J14:J34">(10^-6)*3.14*$O$6*B14*A14*$B$5</f>
        <v>-0.055968348068465526</v>
      </c>
      <c r="K14" s="40">
        <f aca="true" t="shared" si="9" ref="K14:K34">($B$9/SQRT(2))*(1-EXP(-1*J14^2))</f>
        <v>0.001769212258867696</v>
      </c>
      <c r="L14" s="40">
        <f aca="true" t="shared" si="10" ref="L14:L34">10*LOG10(1/SQRT(1-($J$7*K14)^2))</f>
        <v>0.0003366068562942946</v>
      </c>
      <c r="M14" s="40">
        <f aca="true" t="shared" si="11" ref="M14:M34">$O$5*10^6*($J$6/G14)*10^($B$8/10)</f>
        <v>0.0003973729127694107</v>
      </c>
      <c r="N14" s="40">
        <f aca="true" t="shared" si="12" ref="N14:N34">10*LOG10(1/SQRT(1-($J$7^2)*M14))</f>
        <v>0.043155492728857145</v>
      </c>
      <c r="O14" s="40">
        <f aca="true" t="shared" si="13" ref="O14:O34">Y14-Z14</f>
        <v>0</v>
      </c>
      <c r="P14" s="40">
        <f aca="true" t="shared" si="14" ref="P14:P34">$B$10</f>
        <v>1</v>
      </c>
      <c r="Q14" s="42">
        <f aca="true" t="shared" si="15" ref="Q14:Q34">-10*LOG10((2*SIN(3.1416*$O$9))/(3.1416*$O$9*(1-$O$9^2))-1)</f>
        <v>0.4458340956509569</v>
      </c>
      <c r="R14" s="43">
        <f aca="true" t="shared" si="16" ref="R14:R34">$E$10-$E$11</f>
        <v>6</v>
      </c>
      <c r="S14" s="44">
        <f aca="true" t="shared" si="17" ref="S14:S34">H14+I14+L14+N14+O14+P14+Q14</f>
        <v>5.935891331914549</v>
      </c>
      <c r="T14" s="40">
        <f aca="true" t="shared" si="18" ref="T14:T34">$E$11+I14</f>
        <v>2.34829235005646</v>
      </c>
      <c r="U14" s="40">
        <f aca="true" t="shared" si="19" ref="U14:U34">S14-I14</f>
        <v>5.087598981858089</v>
      </c>
      <c r="V14" s="45">
        <f aca="true" t="shared" si="20" ref="V14:V34">R14-S14</f>
        <v>0.06410866808545101</v>
      </c>
      <c r="W14" s="46">
        <f aca="true" t="shared" si="21" ref="W14:W34">$J$10-T14-Q14-O14</f>
        <v>-14.294126445707418</v>
      </c>
      <c r="X14" s="43"/>
      <c r="Y14" s="40">
        <f aca="true" t="shared" si="22" ref="Y14:Y34">10*LOG10((1+10^(-($B$6/10)))/(1-10^(-($B$6/10))))</f>
        <v>1.0993211590790997</v>
      </c>
      <c r="Z14" s="40">
        <f aca="true" t="shared" si="23" ref="Z14:Z34">10*LOG10((1+10^(-($J$11/10)))/(1-10^(-($J$11/10))))</f>
        <v>1.0993211590790997</v>
      </c>
      <c r="AA14" s="38"/>
      <c r="AB14" s="38"/>
      <c r="AC14" s="38"/>
      <c r="AD14" s="38"/>
      <c r="AE14" s="38"/>
    </row>
    <row r="15" spans="1:31" s="59" customFormat="1" ht="15" customHeight="1">
      <c r="A15" s="48">
        <f aca="true" t="shared" si="24" ref="A15:A34">A14+$J$5</f>
        <v>0.56</v>
      </c>
      <c r="B15" s="51">
        <f t="shared" si="0"/>
        <v>-5.833412074304454</v>
      </c>
      <c r="C15" s="69">
        <f t="shared" si="1"/>
        <v>0.308</v>
      </c>
      <c r="D15" s="50">
        <f t="shared" si="2"/>
        <v>14291.125029661653</v>
      </c>
      <c r="E15" s="50">
        <f t="shared" si="3"/>
        <v>714.2857142857142</v>
      </c>
      <c r="F15" s="51">
        <f t="shared" si="4"/>
        <v>0.7800541056194277</v>
      </c>
      <c r="G15" s="48">
        <f t="shared" si="5"/>
        <v>0.8549762614796537</v>
      </c>
      <c r="H15" s="52">
        <f t="shared" si="6"/>
        <v>3.714969979748952</v>
      </c>
      <c r="I15" s="51">
        <f t="shared" si="7"/>
        <v>0.8637158473302139</v>
      </c>
      <c r="J15" s="49">
        <f t="shared" si="8"/>
        <v>-0.05698595439698308</v>
      </c>
      <c r="K15" s="51">
        <f t="shared" si="9"/>
        <v>0.0018340267623878242</v>
      </c>
      <c r="L15" s="51">
        <f t="shared" si="10"/>
        <v>0.00036172366867421696</v>
      </c>
      <c r="M15" s="51">
        <f t="shared" si="11"/>
        <v>0.00039299336734625347</v>
      </c>
      <c r="N15" s="51">
        <f t="shared" si="12"/>
        <v>0.042675160732559655</v>
      </c>
      <c r="O15" s="51">
        <f t="shared" si="13"/>
        <v>0</v>
      </c>
      <c r="P15" s="51">
        <f t="shared" si="14"/>
        <v>1</v>
      </c>
      <c r="Q15" s="53">
        <f t="shared" si="15"/>
        <v>0.4458340956509569</v>
      </c>
      <c r="R15" s="54">
        <f t="shared" si="16"/>
        <v>6</v>
      </c>
      <c r="S15" s="55">
        <f t="shared" si="17"/>
        <v>6.067556807131357</v>
      </c>
      <c r="T15" s="51">
        <f t="shared" si="18"/>
        <v>2.363715847330214</v>
      </c>
      <c r="U15" s="51">
        <f t="shared" si="19"/>
        <v>5.203840959801143</v>
      </c>
      <c r="V15" s="56">
        <f t="shared" si="20"/>
        <v>-0.06755680713135703</v>
      </c>
      <c r="W15" s="57">
        <f t="shared" si="21"/>
        <v>-14.309549942981171</v>
      </c>
      <c r="X15" s="58">
        <f aca="true" t="shared" si="25" ref="X15:X33">(V16-V14)/2</f>
        <v>-0.13289942001369281</v>
      </c>
      <c r="Y15" s="51">
        <f t="shared" si="22"/>
        <v>1.0993211590790997</v>
      </c>
      <c r="Z15" s="51">
        <f t="shared" si="23"/>
        <v>1.0993211590790997</v>
      </c>
      <c r="AA15" s="49"/>
      <c r="AB15" s="49"/>
      <c r="AC15" s="49"/>
      <c r="AD15" s="49"/>
      <c r="AE15" s="49"/>
    </row>
    <row r="16" spans="1:31" s="59" customFormat="1" ht="15" customHeight="1">
      <c r="A16" s="48">
        <f t="shared" si="24"/>
        <v>0.5700000000000001</v>
      </c>
      <c r="B16" s="51">
        <f t="shared" si="0"/>
        <v>-5.833412074304454</v>
      </c>
      <c r="C16" s="69">
        <f t="shared" si="1"/>
        <v>0.308</v>
      </c>
      <c r="D16" s="50">
        <f t="shared" si="2"/>
        <v>14040.403537913202</v>
      </c>
      <c r="E16" s="50">
        <f t="shared" si="3"/>
        <v>701.7543859649122</v>
      </c>
      <c r="F16" s="51">
        <f t="shared" si="4"/>
        <v>0.7904410521322602</v>
      </c>
      <c r="G16" s="48">
        <f t="shared" si="5"/>
        <v>0.8644634502950107</v>
      </c>
      <c r="H16" s="52">
        <f t="shared" si="6"/>
        <v>3.834126278670621</v>
      </c>
      <c r="I16" s="51">
        <f t="shared" si="7"/>
        <v>0.8791393446039678</v>
      </c>
      <c r="J16" s="49">
        <f t="shared" si="8"/>
        <v>-0.058003560725500634</v>
      </c>
      <c r="K16" s="51">
        <f t="shared" si="9"/>
        <v>0.0019000014427109568</v>
      </c>
      <c r="L16" s="51">
        <f t="shared" si="10"/>
        <v>0.0003882183866213054</v>
      </c>
      <c r="M16" s="51">
        <f t="shared" si="11"/>
        <v>0.00038868040040945063</v>
      </c>
      <c r="N16" s="51">
        <f t="shared" si="12"/>
        <v>0.042202234629766536</v>
      </c>
      <c r="O16" s="51">
        <f t="shared" si="13"/>
        <v>0</v>
      </c>
      <c r="P16" s="51">
        <f t="shared" si="14"/>
        <v>1</v>
      </c>
      <c r="Q16" s="53">
        <f t="shared" si="15"/>
        <v>0.4458340956509569</v>
      </c>
      <c r="R16" s="54">
        <f t="shared" si="16"/>
        <v>6</v>
      </c>
      <c r="S16" s="55">
        <f t="shared" si="17"/>
        <v>6.201690171941935</v>
      </c>
      <c r="T16" s="51">
        <f t="shared" si="18"/>
        <v>2.379139344603968</v>
      </c>
      <c r="U16" s="51">
        <f t="shared" si="19"/>
        <v>5.322550827337967</v>
      </c>
      <c r="V16" s="56">
        <f t="shared" si="20"/>
        <v>-0.20169017194193462</v>
      </c>
      <c r="W16" s="57">
        <f t="shared" si="21"/>
        <v>-14.324973440254924</v>
      </c>
      <c r="X16" s="58">
        <f t="shared" si="25"/>
        <v>-0.1353887698497318</v>
      </c>
      <c r="Y16" s="51">
        <f t="shared" si="22"/>
        <v>1.0993211590790997</v>
      </c>
      <c r="Z16" s="51">
        <f t="shared" si="23"/>
        <v>1.0993211590790997</v>
      </c>
      <c r="AA16" s="49"/>
      <c r="AB16" s="49"/>
      <c r="AC16" s="49"/>
      <c r="AD16" s="49"/>
      <c r="AE16" s="49"/>
    </row>
    <row r="17" spans="1:26" s="59" customFormat="1" ht="15" customHeight="1">
      <c r="A17" s="48">
        <f t="shared" si="24"/>
        <v>0.5800000000000001</v>
      </c>
      <c r="B17" s="51">
        <f t="shared" si="0"/>
        <v>-5.833412074304454</v>
      </c>
      <c r="C17" s="69">
        <f t="shared" si="1"/>
        <v>0.308</v>
      </c>
      <c r="D17" s="50">
        <f t="shared" si="2"/>
        <v>13798.327614845733</v>
      </c>
      <c r="E17" s="50">
        <f t="shared" si="3"/>
        <v>689.655172413793</v>
      </c>
      <c r="F17" s="51">
        <f t="shared" si="4"/>
        <v>0.8008735390516348</v>
      </c>
      <c r="G17" s="48">
        <f t="shared" si="5"/>
        <v>0.8740128291696241</v>
      </c>
      <c r="H17" s="52">
        <f t="shared" si="6"/>
        <v>3.9557845918265833</v>
      </c>
      <c r="I17" s="51">
        <f t="shared" si="7"/>
        <v>0.8945628418777216</v>
      </c>
      <c r="J17" s="49">
        <f t="shared" si="8"/>
        <v>-0.05902116705401819</v>
      </c>
      <c r="K17" s="51">
        <f t="shared" si="9"/>
        <v>0.001967135890831274</v>
      </c>
      <c r="L17" s="51">
        <f t="shared" si="10"/>
        <v>0.00041614028049843943</v>
      </c>
      <c r="M17" s="51">
        <f t="shared" si="11"/>
        <v>0.00038443371628677864</v>
      </c>
      <c r="N17" s="51">
        <f t="shared" si="12"/>
        <v>0.04173667719505986</v>
      </c>
      <c r="O17" s="51">
        <f t="shared" si="13"/>
        <v>0</v>
      </c>
      <c r="P17" s="51">
        <f t="shared" si="14"/>
        <v>1</v>
      </c>
      <c r="Q17" s="53">
        <f t="shared" si="15"/>
        <v>0.4458340956509569</v>
      </c>
      <c r="R17" s="54">
        <f t="shared" si="16"/>
        <v>6</v>
      </c>
      <c r="S17" s="55">
        <f t="shared" si="17"/>
        <v>6.338334346830821</v>
      </c>
      <c r="T17" s="51">
        <f t="shared" si="18"/>
        <v>2.394562841877722</v>
      </c>
      <c r="U17" s="51">
        <f t="shared" si="19"/>
        <v>5.443771504953099</v>
      </c>
      <c r="V17" s="56">
        <f t="shared" si="20"/>
        <v>-0.33833434683082064</v>
      </c>
      <c r="W17" s="57">
        <f t="shared" si="21"/>
        <v>-14.340396937528679</v>
      </c>
      <c r="X17" s="58">
        <f t="shared" si="25"/>
        <v>-0.1379238613112701</v>
      </c>
      <c r="Y17" s="51">
        <f t="shared" si="22"/>
        <v>1.0993211590790997</v>
      </c>
      <c r="Z17" s="51">
        <f t="shared" si="23"/>
        <v>1.0993211590790997</v>
      </c>
    </row>
    <row r="18" spans="1:26" s="59" customFormat="1" ht="15" customHeight="1">
      <c r="A18" s="48">
        <f t="shared" si="24"/>
        <v>0.5900000000000001</v>
      </c>
      <c r="B18" s="51">
        <f t="shared" si="0"/>
        <v>-5.833412074304454</v>
      </c>
      <c r="C18" s="69">
        <f t="shared" si="1"/>
        <v>0.308</v>
      </c>
      <c r="D18" s="50">
        <f t="shared" si="2"/>
        <v>13564.457655272075</v>
      </c>
      <c r="E18" s="50">
        <f t="shared" si="3"/>
        <v>677.9661016949152</v>
      </c>
      <c r="F18" s="51">
        <f t="shared" si="4"/>
        <v>0.8113498096783738</v>
      </c>
      <c r="G18" s="48">
        <f t="shared" si="5"/>
        <v>0.8836223818267243</v>
      </c>
      <c r="H18" s="52">
        <f t="shared" si="6"/>
        <v>4.079993478737107</v>
      </c>
      <c r="I18" s="51">
        <f t="shared" si="7"/>
        <v>0.9099863391514754</v>
      </c>
      <c r="J18" s="49">
        <f t="shared" si="8"/>
        <v>-0.06003877338253575</v>
      </c>
      <c r="K18" s="51">
        <f t="shared" si="9"/>
        <v>0.0020354296905857835</v>
      </c>
      <c r="L18" s="51">
        <f t="shared" si="10"/>
        <v>0.0004455394673830425</v>
      </c>
      <c r="M18" s="51">
        <f t="shared" si="11"/>
        <v>0.00038025293033590063</v>
      </c>
      <c r="N18" s="51">
        <f t="shared" si="12"/>
        <v>0.041278441557552746</v>
      </c>
      <c r="O18" s="51">
        <f t="shared" si="13"/>
        <v>0</v>
      </c>
      <c r="P18" s="51">
        <f t="shared" si="14"/>
        <v>1</v>
      </c>
      <c r="Q18" s="53">
        <f t="shared" si="15"/>
        <v>0.4458340956509569</v>
      </c>
      <c r="R18" s="54">
        <f t="shared" si="16"/>
        <v>6</v>
      </c>
      <c r="S18" s="55">
        <f t="shared" si="17"/>
        <v>6.477537894564475</v>
      </c>
      <c r="T18" s="51">
        <f t="shared" si="18"/>
        <v>2.4099863391514753</v>
      </c>
      <c r="U18" s="51">
        <f t="shared" si="19"/>
        <v>5.567551555412999</v>
      </c>
      <c r="V18" s="56">
        <f t="shared" si="20"/>
        <v>-0.4775378945644748</v>
      </c>
      <c r="W18" s="57">
        <f t="shared" si="21"/>
        <v>-14.355820434802432</v>
      </c>
      <c r="X18" s="58">
        <f t="shared" si="25"/>
        <v>-0.14051056483635227</v>
      </c>
      <c r="Y18" s="51">
        <f t="shared" si="22"/>
        <v>1.0993211590790997</v>
      </c>
      <c r="Z18" s="51">
        <f t="shared" si="23"/>
        <v>1.0993211590790997</v>
      </c>
    </row>
    <row r="19" spans="1:26" s="47" customFormat="1" ht="15" customHeight="1">
      <c r="A19" s="37">
        <f t="shared" si="24"/>
        <v>0.6000000000000001</v>
      </c>
      <c r="B19" s="40">
        <f t="shared" si="0"/>
        <v>-5.833412074304454</v>
      </c>
      <c r="C19" s="68">
        <f t="shared" si="1"/>
        <v>0.308</v>
      </c>
      <c r="D19" s="39">
        <f t="shared" si="2"/>
        <v>13338.383361017542</v>
      </c>
      <c r="E19" s="39">
        <f t="shared" si="3"/>
        <v>666.6666666666665</v>
      </c>
      <c r="F19" s="40">
        <f t="shared" si="4"/>
        <v>0.821868189694724</v>
      </c>
      <c r="G19" s="37">
        <f t="shared" si="5"/>
        <v>0.8932901663133221</v>
      </c>
      <c r="H19" s="41">
        <f t="shared" si="6"/>
        <v>4.206807605267409</v>
      </c>
      <c r="I19" s="40">
        <f t="shared" si="7"/>
        <v>0.9254098364252292</v>
      </c>
      <c r="J19" s="38">
        <f t="shared" si="8"/>
        <v>-0.0610563797110533</v>
      </c>
      <c r="K19" s="40">
        <f t="shared" si="9"/>
        <v>0.0021048824186587177</v>
      </c>
      <c r="L19" s="40">
        <f t="shared" si="10"/>
        <v>0.00047646690990312186</v>
      </c>
      <c r="M19" s="40">
        <f t="shared" si="11"/>
        <v>0.00037613757843847997</v>
      </c>
      <c r="N19" s="40">
        <f t="shared" si="12"/>
        <v>0.040827472250025636</v>
      </c>
      <c r="O19" s="40">
        <f t="shared" si="13"/>
        <v>0</v>
      </c>
      <c r="P19" s="40">
        <f t="shared" si="14"/>
        <v>1</v>
      </c>
      <c r="Q19" s="42">
        <f t="shared" si="15"/>
        <v>0.4458340956509569</v>
      </c>
      <c r="R19" s="43">
        <f t="shared" si="16"/>
        <v>6</v>
      </c>
      <c r="S19" s="44">
        <f t="shared" si="17"/>
        <v>6.619355476503525</v>
      </c>
      <c r="T19" s="40">
        <f t="shared" si="18"/>
        <v>2.4254098364252292</v>
      </c>
      <c r="U19" s="40">
        <f t="shared" si="19"/>
        <v>5.6939456400782955</v>
      </c>
      <c r="V19" s="45">
        <f t="shared" si="20"/>
        <v>-0.6193554765035252</v>
      </c>
      <c r="W19" s="46">
        <f t="shared" si="21"/>
        <v>-14.371243932076187</v>
      </c>
      <c r="X19" s="60">
        <f t="shared" si="25"/>
        <v>-0.1431552280686188</v>
      </c>
      <c r="Y19" s="40">
        <f t="shared" si="22"/>
        <v>1.0993211590790997</v>
      </c>
      <c r="Z19" s="40">
        <f t="shared" si="23"/>
        <v>1.0993211590790997</v>
      </c>
    </row>
    <row r="20" spans="1:26" s="59" customFormat="1" ht="15" customHeight="1">
      <c r="A20" s="48">
        <f t="shared" si="24"/>
        <v>0.6100000000000001</v>
      </c>
      <c r="B20" s="51">
        <f t="shared" si="0"/>
        <v>-5.833412074304454</v>
      </c>
      <c r="C20" s="69">
        <f t="shared" si="1"/>
        <v>0.308</v>
      </c>
      <c r="D20" s="50">
        <f t="shared" si="2"/>
        <v>13119.721338705778</v>
      </c>
      <c r="E20" s="50">
        <f t="shared" si="3"/>
        <v>655.7377049180327</v>
      </c>
      <c r="F20" s="51">
        <f t="shared" si="4"/>
        <v>0.8324270828450615</v>
      </c>
      <c r="G20" s="48">
        <f t="shared" si="5"/>
        <v>0.903014312319544</v>
      </c>
      <c r="H20" s="52">
        <f t="shared" si="6"/>
        <v>4.336288240759783</v>
      </c>
      <c r="I20" s="51">
        <f t="shared" si="7"/>
        <v>0.9408333336989831</v>
      </c>
      <c r="J20" s="49">
        <f t="shared" si="8"/>
        <v>-0.06207398603957086</v>
      </c>
      <c r="K20" s="51">
        <f t="shared" si="9"/>
        <v>0.002175493644585929</v>
      </c>
      <c r="L20" s="51">
        <f t="shared" si="10"/>
        <v>0.0005089744150650752</v>
      </c>
      <c r="M20" s="51">
        <f t="shared" si="11"/>
        <v>0.0003720871257698314</v>
      </c>
      <c r="N20" s="51">
        <f t="shared" si="12"/>
        <v>0.04038370617692393</v>
      </c>
      <c r="O20" s="51">
        <f t="shared" si="13"/>
        <v>0</v>
      </c>
      <c r="P20" s="51">
        <f t="shared" si="14"/>
        <v>1</v>
      </c>
      <c r="Q20" s="53">
        <f t="shared" si="15"/>
        <v>0.4458340956509569</v>
      </c>
      <c r="R20" s="54">
        <f t="shared" si="16"/>
        <v>6</v>
      </c>
      <c r="S20" s="55">
        <f t="shared" si="17"/>
        <v>6.763848350701712</v>
      </c>
      <c r="T20" s="51">
        <f t="shared" si="18"/>
        <v>2.440833333698983</v>
      </c>
      <c r="U20" s="51">
        <f t="shared" si="19"/>
        <v>5.82301501700273</v>
      </c>
      <c r="V20" s="56">
        <f t="shared" si="20"/>
        <v>-0.7638483507017124</v>
      </c>
      <c r="W20" s="57">
        <f t="shared" si="21"/>
        <v>-14.38666742934994</v>
      </c>
      <c r="X20" s="58">
        <f t="shared" si="25"/>
        <v>-0.14586472118510585</v>
      </c>
      <c r="Y20" s="51">
        <f t="shared" si="22"/>
        <v>1.0993211590790997</v>
      </c>
      <c r="Z20" s="51">
        <f t="shared" si="23"/>
        <v>1.0993211590790997</v>
      </c>
    </row>
    <row r="21" spans="1:26" s="59" customFormat="1" ht="15" customHeight="1">
      <c r="A21" s="48">
        <f t="shared" si="24"/>
        <v>0.6200000000000001</v>
      </c>
      <c r="B21" s="51">
        <f t="shared" si="0"/>
        <v>-5.833412074304454</v>
      </c>
      <c r="C21" s="69">
        <f t="shared" si="1"/>
        <v>0.308</v>
      </c>
      <c r="D21" s="50">
        <f t="shared" si="2"/>
        <v>12908.112930016976</v>
      </c>
      <c r="E21" s="50">
        <f t="shared" si="3"/>
        <v>645.1612903225805</v>
      </c>
      <c r="F21" s="51">
        <f t="shared" si="4"/>
        <v>0.8430249668489669</v>
      </c>
      <c r="G21" s="48">
        <f t="shared" si="5"/>
        <v>0.9127930185593565</v>
      </c>
      <c r="H21" s="52">
        <f t="shared" si="6"/>
        <v>4.468503804111029</v>
      </c>
      <c r="I21" s="51">
        <f t="shared" si="7"/>
        <v>0.956256830972737</v>
      </c>
      <c r="J21" s="49">
        <f t="shared" si="8"/>
        <v>-0.06309159236808841</v>
      </c>
      <c r="K21" s="51">
        <f t="shared" si="9"/>
        <v>0.002247262930759286</v>
      </c>
      <c r="L21" s="51">
        <f t="shared" si="10"/>
        <v>0.0005431146330796758</v>
      </c>
      <c r="M21" s="51">
        <f t="shared" si="11"/>
        <v>0.0003681009748850865</v>
      </c>
      <c r="N21" s="51">
        <f t="shared" si="12"/>
        <v>0.03994707350593463</v>
      </c>
      <c r="O21" s="51">
        <f t="shared" si="13"/>
        <v>0</v>
      </c>
      <c r="P21" s="51">
        <f t="shared" si="14"/>
        <v>1</v>
      </c>
      <c r="Q21" s="53">
        <f t="shared" si="15"/>
        <v>0.4458340956509569</v>
      </c>
      <c r="R21" s="54">
        <f t="shared" si="16"/>
        <v>6</v>
      </c>
      <c r="S21" s="55">
        <f t="shared" si="17"/>
        <v>6.911084918873737</v>
      </c>
      <c r="T21" s="51">
        <f t="shared" si="18"/>
        <v>2.456256830972737</v>
      </c>
      <c r="U21" s="51">
        <f t="shared" si="19"/>
        <v>5.954828087901</v>
      </c>
      <c r="V21" s="56">
        <f t="shared" si="20"/>
        <v>-0.9110849188737369</v>
      </c>
      <c r="W21" s="57">
        <f t="shared" si="21"/>
        <v>-14.402090926623695</v>
      </c>
      <c r="X21" s="58">
        <f t="shared" si="25"/>
        <v>-0.1486464898392872</v>
      </c>
      <c r="Y21" s="51">
        <f t="shared" si="22"/>
        <v>1.0993211590790997</v>
      </c>
      <c r="Z21" s="51">
        <f t="shared" si="23"/>
        <v>1.0993211590790997</v>
      </c>
    </row>
    <row r="22" spans="1:26" s="59" customFormat="1" ht="15" customHeight="1">
      <c r="A22" s="48">
        <f t="shared" si="24"/>
        <v>0.6300000000000001</v>
      </c>
      <c r="B22" s="51">
        <f t="shared" si="0"/>
        <v>-5.833412074304454</v>
      </c>
      <c r="C22" s="69">
        <f t="shared" si="1"/>
        <v>0.308</v>
      </c>
      <c r="D22" s="50">
        <f t="shared" si="2"/>
        <v>12703.222248588134</v>
      </c>
      <c r="E22" s="50">
        <f t="shared" si="3"/>
        <v>634.9206349206348</v>
      </c>
      <c r="F22" s="51">
        <f t="shared" si="4"/>
        <v>0.8536603895357749</v>
      </c>
      <c r="G22" s="48">
        <f t="shared" si="5"/>
        <v>0.9226245502165933</v>
      </c>
      <c r="H22" s="52">
        <f t="shared" si="6"/>
        <v>4.603530466938927</v>
      </c>
      <c r="I22" s="51">
        <f t="shared" si="7"/>
        <v>0.9716803282464908</v>
      </c>
      <c r="J22" s="49">
        <f t="shared" si="8"/>
        <v>-0.06410919869660597</v>
      </c>
      <c r="K22" s="51">
        <f t="shared" si="9"/>
        <v>0.0023201898324313216</v>
      </c>
      <c r="L22" s="51">
        <f t="shared" si="10"/>
        <v>0.0005789410561887835</v>
      </c>
      <c r="M22" s="51">
        <f t="shared" si="11"/>
        <v>0.00036417847316237294</v>
      </c>
      <c r="N22" s="51">
        <f t="shared" si="12"/>
        <v>0.03951749848772419</v>
      </c>
      <c r="O22" s="51">
        <f t="shared" si="13"/>
        <v>0</v>
      </c>
      <c r="P22" s="51">
        <f t="shared" si="14"/>
        <v>1</v>
      </c>
      <c r="Q22" s="53">
        <f t="shared" si="15"/>
        <v>0.4458340956509569</v>
      </c>
      <c r="R22" s="54">
        <f t="shared" si="16"/>
        <v>6</v>
      </c>
      <c r="S22" s="55">
        <f t="shared" si="17"/>
        <v>7.061141330380287</v>
      </c>
      <c r="T22" s="51">
        <f t="shared" si="18"/>
        <v>2.4716803282464905</v>
      </c>
      <c r="U22" s="51">
        <f t="shared" si="19"/>
        <v>6.089461002133796</v>
      </c>
      <c r="V22" s="56">
        <f t="shared" si="20"/>
        <v>-1.0611413303802868</v>
      </c>
      <c r="W22" s="57">
        <f t="shared" si="21"/>
        <v>-14.417514423897448</v>
      </c>
      <c r="X22" s="58">
        <f t="shared" si="25"/>
        <v>-0.15150861688773753</v>
      </c>
      <c r="Y22" s="51">
        <f t="shared" si="22"/>
        <v>1.0993211590790997</v>
      </c>
      <c r="Z22" s="51">
        <f t="shared" si="23"/>
        <v>1.0993211590790997</v>
      </c>
    </row>
    <row r="23" spans="1:26" s="59" customFormat="1" ht="15" customHeight="1">
      <c r="A23" s="48">
        <f t="shared" si="24"/>
        <v>0.6400000000000001</v>
      </c>
      <c r="B23" s="51">
        <f t="shared" si="0"/>
        <v>-5.833412074304454</v>
      </c>
      <c r="C23" s="69">
        <f t="shared" si="1"/>
        <v>0.308</v>
      </c>
      <c r="D23" s="50">
        <f t="shared" si="2"/>
        <v>12504.734400953945</v>
      </c>
      <c r="E23" s="50">
        <f t="shared" si="3"/>
        <v>624.9999999999999</v>
      </c>
      <c r="F23" s="51">
        <f t="shared" si="4"/>
        <v>0.8643319651898497</v>
      </c>
      <c r="G23" s="48">
        <f t="shared" si="5"/>
        <v>0.9325072364592928</v>
      </c>
      <c r="H23" s="52">
        <f t="shared" si="6"/>
        <v>4.741452823252175</v>
      </c>
      <c r="I23" s="51">
        <f t="shared" si="7"/>
        <v>0.9871038255202446</v>
      </c>
      <c r="J23" s="49">
        <f t="shared" si="8"/>
        <v>-0.06512680502512352</v>
      </c>
      <c r="K23" s="51">
        <f t="shared" si="9"/>
        <v>0.0023942738977195026</v>
      </c>
      <c r="L23" s="51">
        <f t="shared" si="10"/>
        <v>0.000616508017475077</v>
      </c>
      <c r="M23" s="51">
        <f t="shared" si="11"/>
        <v>0.0003603189196426869</v>
      </c>
      <c r="N23" s="51">
        <f t="shared" si="12"/>
        <v>0.039094900208360366</v>
      </c>
      <c r="O23" s="51">
        <f t="shared" si="13"/>
        <v>0</v>
      </c>
      <c r="P23" s="51">
        <f t="shared" si="14"/>
        <v>1</v>
      </c>
      <c r="Q23" s="53">
        <f t="shared" si="15"/>
        <v>0.4458340956509569</v>
      </c>
      <c r="R23" s="54">
        <f t="shared" si="16"/>
        <v>6</v>
      </c>
      <c r="S23" s="55">
        <f t="shared" si="17"/>
        <v>7.214102152649212</v>
      </c>
      <c r="T23" s="51">
        <f t="shared" si="18"/>
        <v>2.4871038255202444</v>
      </c>
      <c r="U23" s="51">
        <f t="shared" si="19"/>
        <v>6.2269983271289675</v>
      </c>
      <c r="V23" s="56">
        <f t="shared" si="20"/>
        <v>-1.214102152649212</v>
      </c>
      <c r="W23" s="57">
        <f t="shared" si="21"/>
        <v>-14.4329379211712</v>
      </c>
      <c r="X23" s="58">
        <f t="shared" si="25"/>
        <v>-0.15445989429671902</v>
      </c>
      <c r="Y23" s="51">
        <f t="shared" si="22"/>
        <v>1.0993211590790997</v>
      </c>
      <c r="Z23" s="51">
        <f t="shared" si="23"/>
        <v>1.0993211590790997</v>
      </c>
    </row>
    <row r="24" spans="1:26" s="47" customFormat="1" ht="15" customHeight="1">
      <c r="A24" s="37">
        <f t="shared" si="24"/>
        <v>0.6500000000000001</v>
      </c>
      <c r="B24" s="40">
        <f t="shared" si="0"/>
        <v>-5.833412074304454</v>
      </c>
      <c r="C24" s="68">
        <f t="shared" si="1"/>
        <v>0.308</v>
      </c>
      <c r="D24" s="39">
        <f t="shared" si="2"/>
        <v>12312.3538717085</v>
      </c>
      <c r="E24" s="39">
        <f t="shared" si="3"/>
        <v>615.3846153846152</v>
      </c>
      <c r="F24" s="40">
        <f t="shared" si="4"/>
        <v>0.875038371096051</v>
      </c>
      <c r="G24" s="37">
        <f t="shared" si="5"/>
        <v>0.9424394680245677</v>
      </c>
      <c r="H24" s="41">
        <f t="shared" si="6"/>
        <v>4.882364636560276</v>
      </c>
      <c r="I24" s="40">
        <f t="shared" si="7"/>
        <v>1.0025273227939984</v>
      </c>
      <c r="J24" s="38">
        <f t="shared" si="8"/>
        <v>-0.06614441135364107</v>
      </c>
      <c r="K24" s="40">
        <f t="shared" si="9"/>
        <v>0.002469514667611319</v>
      </c>
      <c r="L24" s="40">
        <f t="shared" si="10"/>
        <v>0.0006558706896881995</v>
      </c>
      <c r="M24" s="40">
        <f t="shared" si="11"/>
        <v>0.0003565215713050348</v>
      </c>
      <c r="N24" s="40">
        <f t="shared" si="12"/>
        <v>0.038679193278804605</v>
      </c>
      <c r="O24" s="40">
        <f t="shared" si="13"/>
        <v>0</v>
      </c>
      <c r="P24" s="40">
        <f t="shared" si="14"/>
        <v>1</v>
      </c>
      <c r="Q24" s="42">
        <f t="shared" si="15"/>
        <v>0.4458340956509569</v>
      </c>
      <c r="R24" s="43">
        <f t="shared" si="16"/>
        <v>6</v>
      </c>
      <c r="S24" s="44">
        <f t="shared" si="17"/>
        <v>7.370061118973725</v>
      </c>
      <c r="T24" s="40">
        <f t="shared" si="18"/>
        <v>2.5025273227939984</v>
      </c>
      <c r="U24" s="40">
        <f t="shared" si="19"/>
        <v>6.3675337961797265</v>
      </c>
      <c r="V24" s="45">
        <f t="shared" si="20"/>
        <v>-1.3700611189737248</v>
      </c>
      <c r="W24" s="46">
        <f t="shared" si="21"/>
        <v>-14.448361418444955</v>
      </c>
      <c r="X24" s="60">
        <f t="shared" si="25"/>
        <v>-0.15750990690543665</v>
      </c>
      <c r="Y24" s="40">
        <f t="shared" si="22"/>
        <v>1.0993211590790997</v>
      </c>
      <c r="Z24" s="40">
        <f t="shared" si="23"/>
        <v>1.0993211590790997</v>
      </c>
    </row>
    <row r="25" spans="1:26" s="59" customFormat="1" ht="15" customHeight="1">
      <c r="A25" s="48">
        <f t="shared" si="24"/>
        <v>0.6600000000000001</v>
      </c>
      <c r="B25" s="51">
        <f t="shared" si="0"/>
        <v>-5.833412074304454</v>
      </c>
      <c r="C25" s="69">
        <f t="shared" si="1"/>
        <v>0.308</v>
      </c>
      <c r="D25" s="50">
        <f t="shared" si="2"/>
        <v>12125.803055470491</v>
      </c>
      <c r="E25" s="50">
        <f t="shared" si="3"/>
        <v>606.0606060606059</v>
      </c>
      <c r="F25" s="51">
        <f t="shared" si="4"/>
        <v>0.8857783442751466</v>
      </c>
      <c r="G25" s="48">
        <f t="shared" si="5"/>
        <v>0.9524196948755417</v>
      </c>
      <c r="H25" s="52">
        <f t="shared" si="6"/>
        <v>5.0263696771916635</v>
      </c>
      <c r="I25" s="51">
        <f t="shared" si="7"/>
        <v>1.0179508200677523</v>
      </c>
      <c r="J25" s="49">
        <f t="shared" si="8"/>
        <v>-0.06716201768215864</v>
      </c>
      <c r="K25" s="51">
        <f t="shared" si="9"/>
        <v>0.0025459116759687407</v>
      </c>
      <c r="L25" s="51">
        <f t="shared" si="10"/>
        <v>0.0006970850840474259</v>
      </c>
      <c r="M25" s="51">
        <f t="shared" si="11"/>
        <v>0.00035278564881410513</v>
      </c>
      <c r="N25" s="51">
        <f t="shared" si="12"/>
        <v>0.038270288465665034</v>
      </c>
      <c r="O25" s="51">
        <f t="shared" si="13"/>
        <v>0</v>
      </c>
      <c r="P25" s="51">
        <f t="shared" si="14"/>
        <v>1</v>
      </c>
      <c r="Q25" s="53">
        <f t="shared" si="15"/>
        <v>0.4458340956509569</v>
      </c>
      <c r="R25" s="54">
        <f t="shared" si="16"/>
        <v>6</v>
      </c>
      <c r="S25" s="55">
        <f t="shared" si="17"/>
        <v>7.529121966460085</v>
      </c>
      <c r="T25" s="51">
        <f t="shared" si="18"/>
        <v>2.5179508200677523</v>
      </c>
      <c r="U25" s="51">
        <f t="shared" si="19"/>
        <v>6.511171146392333</v>
      </c>
      <c r="V25" s="56">
        <f t="shared" si="20"/>
        <v>-1.5291219664600852</v>
      </c>
      <c r="W25" s="57">
        <f t="shared" si="21"/>
        <v>-14.46378491571871</v>
      </c>
      <c r="X25" s="58">
        <f t="shared" si="25"/>
        <v>-0.1606691300691807</v>
      </c>
      <c r="Y25" s="51">
        <f t="shared" si="22"/>
        <v>1.0993211590790997</v>
      </c>
      <c r="Z25" s="51">
        <f t="shared" si="23"/>
        <v>1.0993211590790997</v>
      </c>
    </row>
    <row r="26" spans="1:26" s="59" customFormat="1" ht="15" customHeight="1">
      <c r="A26" s="48">
        <f t="shared" si="24"/>
        <v>0.6700000000000002</v>
      </c>
      <c r="B26" s="51">
        <f t="shared" si="0"/>
        <v>-5.833412074304454</v>
      </c>
      <c r="C26" s="69">
        <f t="shared" si="1"/>
        <v>0.308</v>
      </c>
      <c r="D26" s="50">
        <f t="shared" si="2"/>
        <v>11944.820920314216</v>
      </c>
      <c r="E26" s="50">
        <f t="shared" si="3"/>
        <v>597.0149253731342</v>
      </c>
      <c r="F26" s="51">
        <f t="shared" si="4"/>
        <v>0.8965506783992282</v>
      </c>
      <c r="G26" s="48">
        <f t="shared" si="5"/>
        <v>0.9624464239312837</v>
      </c>
      <c r="H26" s="52">
        <f t="shared" si="6"/>
        <v>5.1735826648032806</v>
      </c>
      <c r="I26" s="51">
        <f t="shared" si="7"/>
        <v>1.0333743173415062</v>
      </c>
      <c r="J26" s="49">
        <f t="shared" si="8"/>
        <v>-0.06817962401067619</v>
      </c>
      <c r="K26" s="51">
        <f t="shared" si="9"/>
        <v>0.0026234644495331163</v>
      </c>
      <c r="L26" s="51">
        <f t="shared" si="10"/>
        <v>0.000740208049061948</v>
      </c>
      <c r="M26" s="51">
        <f t="shared" si="11"/>
        <v>0.0003491103417762707</v>
      </c>
      <c r="N26" s="51">
        <f t="shared" si="12"/>
        <v>0.03786809326728047</v>
      </c>
      <c r="O26" s="51">
        <f t="shared" si="13"/>
        <v>0</v>
      </c>
      <c r="P26" s="51">
        <f t="shared" si="14"/>
        <v>1</v>
      </c>
      <c r="Q26" s="53">
        <f t="shared" si="15"/>
        <v>0.4458340956509569</v>
      </c>
      <c r="R26" s="54">
        <f t="shared" si="16"/>
        <v>6</v>
      </c>
      <c r="S26" s="55">
        <f t="shared" si="17"/>
        <v>7.691399379112086</v>
      </c>
      <c r="T26" s="51">
        <f t="shared" si="18"/>
        <v>2.533374317341506</v>
      </c>
      <c r="U26" s="51">
        <f t="shared" si="19"/>
        <v>6.65802506177058</v>
      </c>
      <c r="V26" s="56">
        <f t="shared" si="20"/>
        <v>-1.6913993791120863</v>
      </c>
      <c r="W26" s="57">
        <f t="shared" si="21"/>
        <v>-14.479208412992463</v>
      </c>
      <c r="X26" s="58">
        <f t="shared" si="25"/>
        <v>-0.16394904363497753</v>
      </c>
      <c r="Y26" s="51">
        <f t="shared" si="22"/>
        <v>1.0993211590790997</v>
      </c>
      <c r="Z26" s="51">
        <f t="shared" si="23"/>
        <v>1.0993211590790997</v>
      </c>
    </row>
    <row r="27" spans="1:26" s="59" customFormat="1" ht="15" customHeight="1">
      <c r="A27" s="48">
        <f t="shared" si="24"/>
        <v>0.6800000000000002</v>
      </c>
      <c r="B27" s="51">
        <f t="shared" si="0"/>
        <v>-5.833412074304454</v>
      </c>
      <c r="C27" s="69">
        <f t="shared" si="1"/>
        <v>0.308</v>
      </c>
      <c r="D27" s="50">
        <f t="shared" si="2"/>
        <v>11769.161789133123</v>
      </c>
      <c r="E27" s="50">
        <f t="shared" si="3"/>
        <v>588.235294117647</v>
      </c>
      <c r="F27" s="51">
        <f t="shared" si="4"/>
        <v>0.9073542208775576</v>
      </c>
      <c r="G27" s="48">
        <f t="shared" si="5"/>
        <v>0.972518216870162</v>
      </c>
      <c r="H27" s="52">
        <f t="shared" si="6"/>
        <v>5.3241303337555035</v>
      </c>
      <c r="I27" s="51">
        <f t="shared" si="7"/>
        <v>1.04879781461526</v>
      </c>
      <c r="J27" s="49">
        <f t="shared" si="8"/>
        <v>-0.06919723033919375</v>
      </c>
      <c r="K27" s="51">
        <f t="shared" si="9"/>
        <v>0.0027021725079300115</v>
      </c>
      <c r="L27" s="51">
        <f t="shared" si="10"/>
        <v>0.0007852972693365897</v>
      </c>
      <c r="M27" s="51">
        <f t="shared" si="11"/>
        <v>0.00034549481353813894</v>
      </c>
      <c r="N27" s="51">
        <f t="shared" si="12"/>
        <v>0.037472512438983134</v>
      </c>
      <c r="O27" s="51">
        <f t="shared" si="13"/>
        <v>0</v>
      </c>
      <c r="P27" s="51">
        <f t="shared" si="14"/>
        <v>1</v>
      </c>
      <c r="Q27" s="53">
        <f t="shared" si="15"/>
        <v>0.4458340956509569</v>
      </c>
      <c r="R27" s="54">
        <f t="shared" si="16"/>
        <v>6</v>
      </c>
      <c r="S27" s="55">
        <f t="shared" si="17"/>
        <v>7.85702005373004</v>
      </c>
      <c r="T27" s="51">
        <f t="shared" si="18"/>
        <v>2.54879781461526</v>
      </c>
      <c r="U27" s="51">
        <f t="shared" si="19"/>
        <v>6.80822223911478</v>
      </c>
      <c r="V27" s="56">
        <f t="shared" si="20"/>
        <v>-1.8570200537300403</v>
      </c>
      <c r="W27" s="57">
        <f t="shared" si="21"/>
        <v>-14.494631910266216</v>
      </c>
      <c r="X27" s="58">
        <f t="shared" si="25"/>
        <v>-0.16736226523677544</v>
      </c>
      <c r="Y27" s="51">
        <f t="shared" si="22"/>
        <v>1.0993211590790997</v>
      </c>
      <c r="Z27" s="51">
        <f t="shared" si="23"/>
        <v>1.0993211590790997</v>
      </c>
    </row>
    <row r="28" spans="1:26" s="59" customFormat="1" ht="15" customHeight="1">
      <c r="A28" s="48">
        <f t="shared" si="24"/>
        <v>0.6900000000000002</v>
      </c>
      <c r="B28" s="51">
        <f t="shared" si="0"/>
        <v>-5.833412074304454</v>
      </c>
      <c r="C28" s="69">
        <f t="shared" si="1"/>
        <v>0.308</v>
      </c>
      <c r="D28" s="50">
        <f t="shared" si="2"/>
        <v>11598.594226971774</v>
      </c>
      <c r="E28" s="50">
        <f t="shared" si="3"/>
        <v>579.7101449275361</v>
      </c>
      <c r="F28" s="51">
        <f t="shared" si="4"/>
        <v>0.9181878701036239</v>
      </c>
      <c r="G28" s="48">
        <f t="shared" si="5"/>
        <v>0.9826336880065883</v>
      </c>
      <c r="H28" s="52">
        <f t="shared" si="6"/>
        <v>5.478152642310073</v>
      </c>
      <c r="I28" s="51">
        <f t="shared" si="7"/>
        <v>1.0642213118890138</v>
      </c>
      <c r="J28" s="49">
        <f t="shared" si="8"/>
        <v>-0.0702148366677113</v>
      </c>
      <c r="K28" s="51">
        <f t="shared" si="9"/>
        <v>0.0027820353636742925</v>
      </c>
      <c r="L28" s="51">
        <f t="shared" si="10"/>
        <v>0.0008324112643895744</v>
      </c>
      <c r="M28" s="51">
        <f t="shared" si="11"/>
        <v>0.0003419382055602262</v>
      </c>
      <c r="N28" s="51">
        <f t="shared" si="12"/>
        <v>0.03708344847120387</v>
      </c>
      <c r="O28" s="51">
        <f t="shared" si="13"/>
        <v>0</v>
      </c>
      <c r="P28" s="51">
        <f t="shared" si="14"/>
        <v>1</v>
      </c>
      <c r="Q28" s="53">
        <f t="shared" si="15"/>
        <v>0.4458340956509569</v>
      </c>
      <c r="R28" s="54">
        <f t="shared" si="16"/>
        <v>6</v>
      </c>
      <c r="S28" s="55">
        <f t="shared" si="17"/>
        <v>8.026123909585637</v>
      </c>
      <c r="T28" s="51">
        <f t="shared" si="18"/>
        <v>2.564221311889014</v>
      </c>
      <c r="U28" s="51">
        <f t="shared" si="19"/>
        <v>6.961902597696623</v>
      </c>
      <c r="V28" s="56">
        <f t="shared" si="20"/>
        <v>-2.026123909585637</v>
      </c>
      <c r="W28" s="57">
        <f t="shared" si="21"/>
        <v>-14.510055407539971</v>
      </c>
      <c r="X28" s="58">
        <f t="shared" si="25"/>
        <v>-0.17092270656564112</v>
      </c>
      <c r="Y28" s="51">
        <f t="shared" si="22"/>
        <v>1.0993211590790997</v>
      </c>
      <c r="Z28" s="51">
        <f t="shared" si="23"/>
        <v>1.0993211590790997</v>
      </c>
    </row>
    <row r="29" spans="1:26" s="47" customFormat="1" ht="15" customHeight="1">
      <c r="A29" s="37">
        <f t="shared" si="24"/>
        <v>0.7000000000000002</v>
      </c>
      <c r="B29" s="40">
        <f t="shared" si="0"/>
        <v>-5.833412074304454</v>
      </c>
      <c r="C29" s="68">
        <f t="shared" si="1"/>
        <v>0.308</v>
      </c>
      <c r="D29" s="39">
        <f t="shared" si="2"/>
        <v>11432.90002372932</v>
      </c>
      <c r="E29" s="39">
        <f t="shared" si="3"/>
        <v>571.4285714285713</v>
      </c>
      <c r="F29" s="40">
        <f t="shared" si="4"/>
        <v>0.9290505728545922</v>
      </c>
      <c r="G29" s="37">
        <f t="shared" si="5"/>
        <v>0.9927915022407504</v>
      </c>
      <c r="H29" s="41">
        <f t="shared" si="6"/>
        <v>5.635804150636227</v>
      </c>
      <c r="I29" s="40">
        <f t="shared" si="7"/>
        <v>1.0796448091627675</v>
      </c>
      <c r="J29" s="38">
        <f t="shared" si="8"/>
        <v>-0.07123244299622886</v>
      </c>
      <c r="K29" s="40">
        <f t="shared" si="9"/>
        <v>0.002863052522174966</v>
      </c>
      <c r="L29" s="40">
        <f t="shared" si="10"/>
        <v>0.0008816093874626819</v>
      </c>
      <c r="M29" s="40">
        <f t="shared" si="11"/>
        <v>0.000338439641396649</v>
      </c>
      <c r="N29" s="40">
        <f t="shared" si="12"/>
        <v>0.03670080202390953</v>
      </c>
      <c r="O29" s="40">
        <f t="shared" si="13"/>
        <v>0</v>
      </c>
      <c r="P29" s="40">
        <f t="shared" si="14"/>
        <v>1</v>
      </c>
      <c r="Q29" s="42">
        <f t="shared" si="15"/>
        <v>0.4458340956509569</v>
      </c>
      <c r="R29" s="43">
        <f t="shared" si="16"/>
        <v>6</v>
      </c>
      <c r="S29" s="44">
        <f t="shared" si="17"/>
        <v>8.198865466861323</v>
      </c>
      <c r="T29" s="40">
        <f t="shared" si="18"/>
        <v>2.5796448091627675</v>
      </c>
      <c r="U29" s="40">
        <f t="shared" si="19"/>
        <v>7.1192206576985555</v>
      </c>
      <c r="V29" s="45">
        <f t="shared" si="20"/>
        <v>-2.1988654668613226</v>
      </c>
      <c r="W29" s="46">
        <f t="shared" si="21"/>
        <v>-14.525478904813724</v>
      </c>
      <c r="X29" s="60">
        <f t="shared" si="25"/>
        <v>-0.1746457571108575</v>
      </c>
      <c r="Y29" s="40">
        <f t="shared" si="22"/>
        <v>1.0993211590790997</v>
      </c>
      <c r="Z29" s="40">
        <f t="shared" si="23"/>
        <v>1.0993211590790997</v>
      </c>
    </row>
    <row r="30" spans="1:26" s="59" customFormat="1" ht="15" customHeight="1">
      <c r="A30" s="48">
        <f t="shared" si="24"/>
        <v>0.7100000000000002</v>
      </c>
      <c r="B30" s="51">
        <f t="shared" si="0"/>
        <v>-5.833412074304454</v>
      </c>
      <c r="C30" s="69">
        <f t="shared" si="1"/>
        <v>0.308</v>
      </c>
      <c r="D30" s="50">
        <f t="shared" si="2"/>
        <v>11271.873262831723</v>
      </c>
      <c r="E30" s="50">
        <f t="shared" si="3"/>
        <v>563.3802816901407</v>
      </c>
      <c r="F30" s="51">
        <f t="shared" si="4"/>
        <v>0.9399413218347032</v>
      </c>
      <c r="G30" s="48">
        <f t="shared" si="5"/>
        <v>1.002990373080604</v>
      </c>
      <c r="H30" s="52">
        <f t="shared" si="6"/>
        <v>5.797255597574909</v>
      </c>
      <c r="I30" s="51">
        <f t="shared" si="7"/>
        <v>1.0950683064365214</v>
      </c>
      <c r="J30" s="49">
        <f t="shared" si="8"/>
        <v>-0.07225004932474642</v>
      </c>
      <c r="K30" s="51">
        <f t="shared" si="9"/>
        <v>0.002945223481740514</v>
      </c>
      <c r="L30" s="51">
        <f t="shared" si="10"/>
        <v>0.000932951824336909</v>
      </c>
      <c r="M30" s="51">
        <f t="shared" si="11"/>
        <v>0.00033499823031003085</v>
      </c>
      <c r="N30" s="51">
        <f t="shared" si="12"/>
        <v>0.03632447232062865</v>
      </c>
      <c r="O30" s="51">
        <f t="shared" si="13"/>
        <v>0</v>
      </c>
      <c r="P30" s="51">
        <f t="shared" si="14"/>
        <v>1</v>
      </c>
      <c r="Q30" s="53">
        <f t="shared" si="15"/>
        <v>0.4458340956509569</v>
      </c>
      <c r="R30" s="54">
        <f t="shared" si="16"/>
        <v>6</v>
      </c>
      <c r="S30" s="55">
        <f t="shared" si="17"/>
        <v>8.375415423807352</v>
      </c>
      <c r="T30" s="51">
        <f t="shared" si="18"/>
        <v>2.5950683064365214</v>
      </c>
      <c r="U30" s="51">
        <f t="shared" si="19"/>
        <v>7.28034711737083</v>
      </c>
      <c r="V30" s="56">
        <f t="shared" si="20"/>
        <v>-2.375415423807352</v>
      </c>
      <c r="W30" s="57">
        <f t="shared" si="21"/>
        <v>-14.540902402087479</v>
      </c>
      <c r="X30" s="58">
        <f t="shared" si="25"/>
        <v>-0.1785485009308534</v>
      </c>
      <c r="Y30" s="51">
        <f t="shared" si="22"/>
        <v>1.0993211590790997</v>
      </c>
      <c r="Z30" s="51">
        <f t="shared" si="23"/>
        <v>1.0993211590790997</v>
      </c>
    </row>
    <row r="31" spans="1:26" s="59" customFormat="1" ht="15" customHeight="1">
      <c r="A31" s="48">
        <f t="shared" si="24"/>
        <v>0.7200000000000002</v>
      </c>
      <c r="B31" s="51">
        <f t="shared" si="0"/>
        <v>-5.833412074304454</v>
      </c>
      <c r="C31" s="69">
        <f t="shared" si="1"/>
        <v>0.308</v>
      </c>
      <c r="D31" s="50">
        <f t="shared" si="2"/>
        <v>11115.319467514615</v>
      </c>
      <c r="E31" s="50">
        <f t="shared" si="3"/>
        <v>555.5555555555554</v>
      </c>
      <c r="F31" s="51">
        <f t="shared" si="4"/>
        <v>0.9508591533545855</v>
      </c>
      <c r="G31" s="48">
        <f t="shared" si="5"/>
        <v>1.0132290607351326</v>
      </c>
      <c r="H31" s="52">
        <f t="shared" si="6"/>
        <v>5.962695712264466</v>
      </c>
      <c r="I31" s="51">
        <f t="shared" si="7"/>
        <v>1.1104918037102753</v>
      </c>
      <c r="J31" s="49">
        <f t="shared" si="8"/>
        <v>-0.07326765565326397</v>
      </c>
      <c r="K31" s="51">
        <f t="shared" si="9"/>
        <v>0.0030285477335839192</v>
      </c>
      <c r="L31" s="51">
        <f t="shared" si="10"/>
        <v>0.0009864995921503518</v>
      </c>
      <c r="M31" s="51">
        <f t="shared" si="11"/>
        <v>0.0003316130705491416</v>
      </c>
      <c r="N31" s="51">
        <f t="shared" si="12"/>
        <v>0.035954357505181334</v>
      </c>
      <c r="O31" s="51">
        <f t="shared" si="13"/>
        <v>0</v>
      </c>
      <c r="P31" s="51">
        <f t="shared" si="14"/>
        <v>1</v>
      </c>
      <c r="Q31" s="53">
        <f t="shared" si="15"/>
        <v>0.4458340956509569</v>
      </c>
      <c r="R31" s="54">
        <f t="shared" si="16"/>
        <v>6</v>
      </c>
      <c r="S31" s="55">
        <f t="shared" si="17"/>
        <v>8.55596246872303</v>
      </c>
      <c r="T31" s="51">
        <f t="shared" si="18"/>
        <v>2.6104918037102753</v>
      </c>
      <c r="U31" s="51">
        <f t="shared" si="19"/>
        <v>7.4454706650127545</v>
      </c>
      <c r="V31" s="56">
        <f t="shared" si="20"/>
        <v>-2.5559624687230293</v>
      </c>
      <c r="W31" s="57">
        <f t="shared" si="21"/>
        <v>-14.556325899361232</v>
      </c>
      <c r="X31" s="58">
        <f t="shared" si="25"/>
        <v>-0.182649973365411</v>
      </c>
      <c r="Y31" s="51">
        <f t="shared" si="22"/>
        <v>1.0993211590790997</v>
      </c>
      <c r="Z31" s="51">
        <f t="shared" si="23"/>
        <v>1.0993211590790997</v>
      </c>
    </row>
    <row r="32" spans="1:26" s="59" customFormat="1" ht="15" customHeight="1">
      <c r="A32" s="48">
        <f t="shared" si="24"/>
        <v>0.7300000000000002</v>
      </c>
      <c r="B32" s="51">
        <f t="shared" si="0"/>
        <v>-5.833412074304454</v>
      </c>
      <c r="C32" s="69">
        <f t="shared" si="1"/>
        <v>0.308</v>
      </c>
      <c r="D32" s="50">
        <f t="shared" si="2"/>
        <v>10963.054817274691</v>
      </c>
      <c r="E32" s="50">
        <f t="shared" si="3"/>
        <v>547.9452054794519</v>
      </c>
      <c r="F32" s="51">
        <f t="shared" si="4"/>
        <v>0.9618031451388251</v>
      </c>
      <c r="G32" s="48">
        <f t="shared" si="5"/>
        <v>1.0235063702776528</v>
      </c>
      <c r="H32" s="52">
        <f t="shared" si="6"/>
        <v>6.132333304400989</v>
      </c>
      <c r="I32" s="51">
        <f t="shared" si="7"/>
        <v>1.125915300984029</v>
      </c>
      <c r="J32" s="49">
        <f t="shared" si="8"/>
        <v>-0.07428526198178152</v>
      </c>
      <c r="K32" s="51">
        <f t="shared" si="9"/>
        <v>0.0031130247618278164</v>
      </c>
      <c r="L32" s="51">
        <f t="shared" si="10"/>
        <v>0.001042314538222735</v>
      </c>
      <c r="M32" s="51">
        <f t="shared" si="11"/>
        <v>0.0003282832523151285</v>
      </c>
      <c r="N32" s="51">
        <f t="shared" si="12"/>
        <v>0.035590354963975404</v>
      </c>
      <c r="O32" s="51">
        <f t="shared" si="13"/>
        <v>0</v>
      </c>
      <c r="P32" s="51">
        <f t="shared" si="14"/>
        <v>1</v>
      </c>
      <c r="Q32" s="53">
        <f t="shared" si="15"/>
        <v>0.4458340956509569</v>
      </c>
      <c r="R32" s="54">
        <f t="shared" si="16"/>
        <v>6</v>
      </c>
      <c r="S32" s="55">
        <f t="shared" si="17"/>
        <v>8.740715370538174</v>
      </c>
      <c r="T32" s="51">
        <f t="shared" si="18"/>
        <v>2.625915300984029</v>
      </c>
      <c r="U32" s="51">
        <f t="shared" si="19"/>
        <v>7.614800069554145</v>
      </c>
      <c r="V32" s="56">
        <f t="shared" si="20"/>
        <v>-2.740715370538174</v>
      </c>
      <c r="W32" s="57">
        <f t="shared" si="21"/>
        <v>-14.571749396634987</v>
      </c>
      <c r="X32" s="58">
        <f t="shared" si="25"/>
        <v>-0.1869714663331088</v>
      </c>
      <c r="Y32" s="51">
        <f t="shared" si="22"/>
        <v>1.0993211590790997</v>
      </c>
      <c r="Z32" s="51">
        <f t="shared" si="23"/>
        <v>1.0993211590790997</v>
      </c>
    </row>
    <row r="33" spans="1:26" s="59" customFormat="1" ht="15" customHeight="1">
      <c r="A33" s="48">
        <f t="shared" si="24"/>
        <v>0.7400000000000002</v>
      </c>
      <c r="B33" s="51">
        <f t="shared" si="0"/>
        <v>-5.833412074304454</v>
      </c>
      <c r="C33" s="69">
        <f t="shared" si="1"/>
        <v>0.308</v>
      </c>
      <c r="D33" s="50">
        <f t="shared" si="2"/>
        <v>10814.905427852058</v>
      </c>
      <c r="E33" s="50">
        <f t="shared" si="3"/>
        <v>540.5405405405404</v>
      </c>
      <c r="F33" s="51">
        <f t="shared" si="4"/>
        <v>0.9727724142545261</v>
      </c>
      <c r="G33" s="48">
        <f t="shared" si="5"/>
        <v>1.0338211498777625</v>
      </c>
      <c r="H33" s="52">
        <f t="shared" si="6"/>
        <v>6.306399686525017</v>
      </c>
      <c r="I33" s="51">
        <f t="shared" si="7"/>
        <v>1.141338798257783</v>
      </c>
      <c r="J33" s="49">
        <f t="shared" si="8"/>
        <v>-0.07530286831029909</v>
      </c>
      <c r="K33" s="51">
        <f t="shared" si="9"/>
        <v>0.0031986540435101425</v>
      </c>
      <c r="L33" s="51">
        <f t="shared" si="10"/>
        <v>0.0011004593388784785</v>
      </c>
      <c r="M33" s="51">
        <f t="shared" si="11"/>
        <v>0.0003250078604405879</v>
      </c>
      <c r="N33" s="51">
        <f t="shared" si="12"/>
        <v>0.03523236161661139</v>
      </c>
      <c r="O33" s="51">
        <f t="shared" si="13"/>
        <v>0</v>
      </c>
      <c r="P33" s="51">
        <f t="shared" si="14"/>
        <v>1</v>
      </c>
      <c r="Q33" s="53">
        <f t="shared" si="15"/>
        <v>0.4458340956509569</v>
      </c>
      <c r="R33" s="54">
        <f t="shared" si="16"/>
        <v>6</v>
      </c>
      <c r="S33" s="55">
        <f t="shared" si="17"/>
        <v>8.929905401389247</v>
      </c>
      <c r="T33" s="51">
        <f t="shared" si="18"/>
        <v>2.6413387982577827</v>
      </c>
      <c r="U33" s="51">
        <f t="shared" si="19"/>
        <v>7.788566603131464</v>
      </c>
      <c r="V33" s="56">
        <f t="shared" si="20"/>
        <v>-2.929905401389247</v>
      </c>
      <c r="W33" s="57">
        <f t="shared" si="21"/>
        <v>-14.58717289390874</v>
      </c>
      <c r="X33" s="58">
        <f t="shared" si="25"/>
        <v>-0.1915368930931063</v>
      </c>
      <c r="Y33" s="51">
        <f t="shared" si="22"/>
        <v>1.0993211590790997</v>
      </c>
      <c r="Z33" s="51">
        <f t="shared" si="23"/>
        <v>1.0993211590790997</v>
      </c>
    </row>
    <row r="34" spans="1:26" s="47" customFormat="1" ht="15" customHeight="1">
      <c r="A34" s="37">
        <f t="shared" si="24"/>
        <v>0.7500000000000002</v>
      </c>
      <c r="B34" s="40">
        <f t="shared" si="0"/>
        <v>-5.833412074304454</v>
      </c>
      <c r="C34" s="68">
        <f t="shared" si="1"/>
        <v>0.308</v>
      </c>
      <c r="D34" s="39">
        <f t="shared" si="2"/>
        <v>10670.706688814033</v>
      </c>
      <c r="E34" s="39">
        <f t="shared" si="3"/>
        <v>533.3333333333331</v>
      </c>
      <c r="F34" s="40">
        <f t="shared" si="4"/>
        <v>0.9837661151539676</v>
      </c>
      <c r="G34" s="37">
        <f t="shared" si="5"/>
        <v>1.0441722891003808</v>
      </c>
      <c r="H34" s="41">
        <f t="shared" si="6"/>
        <v>6.485151493866297</v>
      </c>
      <c r="I34" s="40">
        <f t="shared" si="7"/>
        <v>1.1567622955315369</v>
      </c>
      <c r="J34" s="38">
        <f t="shared" si="8"/>
        <v>-0.07632047463881664</v>
      </c>
      <c r="K34" s="40">
        <f t="shared" si="9"/>
        <v>0.0032854350485892257</v>
      </c>
      <c r="L34" s="40">
        <f t="shared" si="10"/>
        <v>0.0011609974982804267</v>
      </c>
      <c r="M34" s="40">
        <f t="shared" si="11"/>
        <v>0.0003217859768041583</v>
      </c>
      <c r="N34" s="40">
        <f t="shared" si="12"/>
        <v>0.03488027417731661</v>
      </c>
      <c r="O34" s="40">
        <f t="shared" si="13"/>
        <v>0</v>
      </c>
      <c r="P34" s="40">
        <f t="shared" si="14"/>
        <v>1</v>
      </c>
      <c r="Q34" s="42">
        <f t="shared" si="15"/>
        <v>0.4458340956509569</v>
      </c>
      <c r="R34" s="43">
        <f t="shared" si="16"/>
        <v>6</v>
      </c>
      <c r="S34" s="44">
        <f t="shared" si="17"/>
        <v>9.123789156724387</v>
      </c>
      <c r="T34" s="40">
        <f t="shared" si="18"/>
        <v>2.6567622955315366</v>
      </c>
      <c r="U34" s="40">
        <f t="shared" si="19"/>
        <v>7.96702686119285</v>
      </c>
      <c r="V34" s="45">
        <f t="shared" si="20"/>
        <v>-3.1237891567243867</v>
      </c>
      <c r="W34" s="46">
        <f t="shared" si="21"/>
        <v>-14.602596391182493</v>
      </c>
      <c r="X34" s="61"/>
      <c r="Y34" s="40">
        <f t="shared" si="22"/>
        <v>1.0993211590790997</v>
      </c>
      <c r="Z34" s="40">
        <f t="shared" si="23"/>
        <v>1.0993211590790997</v>
      </c>
    </row>
    <row r="35" spans="1:23" ht="15" customHeight="1">
      <c r="A35" s="3"/>
      <c r="B35" s="2"/>
      <c r="C35" s="2"/>
      <c r="D35" s="11"/>
      <c r="E35" s="2"/>
      <c r="F35" s="2"/>
      <c r="G35" s="3"/>
      <c r="H35" s="5"/>
      <c r="I35" s="5"/>
      <c r="J35" s="5"/>
      <c r="K35" s="5"/>
      <c r="L35" s="2"/>
      <c r="M35" s="5"/>
      <c r="N35" s="5"/>
      <c r="O35" s="5"/>
      <c r="P35" s="5"/>
      <c r="Q35" s="7"/>
      <c r="R35" s="8"/>
      <c r="S35" s="31"/>
      <c r="U35" s="31"/>
      <c r="V35" s="31"/>
      <c r="W35" s="32"/>
    </row>
    <row r="36" spans="1:21" ht="15" customHeight="1">
      <c r="A36" s="3"/>
      <c r="B36" s="2"/>
      <c r="C36" s="2"/>
      <c r="D36" s="11"/>
      <c r="E36" s="2"/>
      <c r="F36" s="2"/>
      <c r="G36" s="3"/>
      <c r="H36" s="5"/>
      <c r="I36" s="5"/>
      <c r="J36" s="5"/>
      <c r="K36" s="5"/>
      <c r="L36" s="2"/>
      <c r="M36" s="5"/>
      <c r="N36" s="5"/>
      <c r="O36" s="5"/>
      <c r="P36" s="5"/>
      <c r="Q36" s="7"/>
      <c r="R36" s="8"/>
      <c r="S36" s="5"/>
      <c r="U36" s="5"/>
    </row>
    <row r="37" spans="1:21" ht="15" customHeight="1">
      <c r="A37" s="3"/>
      <c r="B37" s="2"/>
      <c r="C37" s="2"/>
      <c r="D37" s="11"/>
      <c r="E37" s="2"/>
      <c r="F37" s="2"/>
      <c r="G37" s="3"/>
      <c r="H37" s="5"/>
      <c r="I37" s="5"/>
      <c r="J37" s="5"/>
      <c r="K37" s="5"/>
      <c r="L37" s="2"/>
      <c r="M37" s="5"/>
      <c r="N37" s="5"/>
      <c r="O37" s="5"/>
      <c r="P37" s="5"/>
      <c r="Q37" s="7"/>
      <c r="R37" s="8"/>
      <c r="S37" s="5"/>
      <c r="U37" s="5"/>
    </row>
    <row r="38" spans="1:21" ht="15" customHeight="1">
      <c r="A38" s="3"/>
      <c r="B38" s="2"/>
      <c r="C38" s="2"/>
      <c r="D38" s="11"/>
      <c r="E38" s="2"/>
      <c r="F38" s="2"/>
      <c r="G38" s="3"/>
      <c r="H38" s="5"/>
      <c r="I38" s="5"/>
      <c r="J38" s="5"/>
      <c r="K38" s="5"/>
      <c r="L38" s="2"/>
      <c r="M38" s="5"/>
      <c r="N38" s="5"/>
      <c r="O38" s="5"/>
      <c r="P38" s="5"/>
      <c r="Q38" s="7"/>
      <c r="R38" s="8"/>
      <c r="S38" s="5"/>
      <c r="U38" s="5"/>
    </row>
    <row r="39" spans="1:21" ht="15" customHeight="1">
      <c r="A39" s="3"/>
      <c r="B39" s="2"/>
      <c r="C39" s="2"/>
      <c r="D39" s="11"/>
      <c r="E39" s="2"/>
      <c r="F39" s="2"/>
      <c r="G39" s="3"/>
      <c r="H39" s="5"/>
      <c r="I39" s="5"/>
      <c r="J39" s="5"/>
      <c r="K39" s="5"/>
      <c r="L39" s="2"/>
      <c r="M39" s="5"/>
      <c r="N39" s="5"/>
      <c r="O39" s="5"/>
      <c r="P39" s="5"/>
      <c r="Q39" s="7"/>
      <c r="R39" s="8"/>
      <c r="S39" s="5"/>
      <c r="U39" s="5"/>
    </row>
    <row r="40" spans="1:21" ht="15" customHeight="1">
      <c r="A40" s="3"/>
      <c r="B40" s="2"/>
      <c r="C40" s="2"/>
      <c r="D40" s="11"/>
      <c r="E40" s="2"/>
      <c r="F40" s="2"/>
      <c r="G40" s="3"/>
      <c r="H40" s="5"/>
      <c r="I40" s="5"/>
      <c r="J40" s="5"/>
      <c r="K40" s="5"/>
      <c r="L40" s="2"/>
      <c r="M40" s="5"/>
      <c r="N40" s="5"/>
      <c r="O40" s="5"/>
      <c r="P40" s="5"/>
      <c r="Q40" s="7"/>
      <c r="R40" s="8"/>
      <c r="S40" s="5"/>
      <c r="U40" s="5"/>
    </row>
    <row r="41" spans="1:21" ht="15" customHeight="1">
      <c r="A41" s="3"/>
      <c r="B41" s="2"/>
      <c r="C41" s="2"/>
      <c r="D41" s="11"/>
      <c r="E41" s="2"/>
      <c r="F41" s="2"/>
      <c r="G41" s="3"/>
      <c r="H41" s="5"/>
      <c r="I41" s="5"/>
      <c r="J41" s="5"/>
      <c r="K41" s="5"/>
      <c r="L41" s="2"/>
      <c r="M41" s="5"/>
      <c r="N41" s="5"/>
      <c r="O41" s="5"/>
      <c r="P41" s="5"/>
      <c r="Q41" s="7"/>
      <c r="R41" s="8"/>
      <c r="S41" s="5"/>
      <c r="U41" s="5"/>
    </row>
    <row r="42" spans="1:21" ht="15" customHeight="1">
      <c r="A42" s="3"/>
      <c r="B42" s="2"/>
      <c r="C42" s="2"/>
      <c r="D42" s="11"/>
      <c r="E42" s="2"/>
      <c r="F42" s="2"/>
      <c r="G42" s="3"/>
      <c r="H42" s="5"/>
      <c r="I42" s="5"/>
      <c r="J42" s="5"/>
      <c r="K42" s="5"/>
      <c r="L42" s="2"/>
      <c r="M42" s="5"/>
      <c r="N42" s="5"/>
      <c r="O42" s="5"/>
      <c r="P42" s="5"/>
      <c r="Q42" s="7"/>
      <c r="R42" s="8"/>
      <c r="S42" s="5"/>
      <c r="U42" s="5"/>
    </row>
    <row r="43" spans="1:21" ht="15" customHeight="1">
      <c r="A43" s="3"/>
      <c r="B43" s="2"/>
      <c r="C43" s="2"/>
      <c r="D43" s="11"/>
      <c r="E43" s="2"/>
      <c r="F43" s="2"/>
      <c r="G43" s="3"/>
      <c r="H43" s="5"/>
      <c r="I43" s="5"/>
      <c r="J43" s="5"/>
      <c r="K43" s="5"/>
      <c r="L43" s="2"/>
      <c r="M43" s="5"/>
      <c r="N43" s="5"/>
      <c r="O43" s="5"/>
      <c r="P43" s="5"/>
      <c r="Q43" s="7"/>
      <c r="R43" s="8"/>
      <c r="S43" s="5"/>
      <c r="U43" s="5"/>
    </row>
    <row r="44" spans="1:21" ht="15" customHeight="1">
      <c r="A44" s="3"/>
      <c r="B44" s="2"/>
      <c r="C44" s="2"/>
      <c r="D44" s="11"/>
      <c r="E44" s="2"/>
      <c r="F44" s="2"/>
      <c r="G44" s="3"/>
      <c r="H44" s="5"/>
      <c r="I44" s="5"/>
      <c r="J44" s="5"/>
      <c r="K44" s="5"/>
      <c r="L44" s="2"/>
      <c r="M44" s="5"/>
      <c r="N44" s="5"/>
      <c r="O44" s="5"/>
      <c r="P44" s="5"/>
      <c r="Q44" s="7"/>
      <c r="R44" s="8"/>
      <c r="S44" s="5"/>
      <c r="U44" s="5"/>
    </row>
    <row r="45" spans="1:21" ht="15" customHeight="1">
      <c r="A45" s="3"/>
      <c r="B45" s="2"/>
      <c r="C45" s="2"/>
      <c r="D45" s="11"/>
      <c r="E45" s="2"/>
      <c r="F45" s="2"/>
      <c r="G45" s="3"/>
      <c r="H45" s="5"/>
      <c r="I45" s="5"/>
      <c r="J45" s="5"/>
      <c r="K45" s="5"/>
      <c r="L45" s="2"/>
      <c r="M45" s="5"/>
      <c r="N45" s="5"/>
      <c r="O45" s="5"/>
      <c r="P45" s="5"/>
      <c r="Q45" s="7"/>
      <c r="R45" s="8"/>
      <c r="S45" s="5"/>
      <c r="U45" s="5"/>
    </row>
    <row r="46" spans="1:21" ht="15" customHeight="1">
      <c r="A46" s="3"/>
      <c r="B46" s="2"/>
      <c r="C46" s="2"/>
      <c r="D46" s="11"/>
      <c r="E46" s="2"/>
      <c r="F46" s="2"/>
      <c r="G46" s="3"/>
      <c r="H46" s="5"/>
      <c r="I46" s="5"/>
      <c r="J46" s="5"/>
      <c r="K46" s="5"/>
      <c r="L46" s="2"/>
      <c r="M46" s="5"/>
      <c r="N46" s="2"/>
      <c r="O46" s="2"/>
      <c r="P46" s="5"/>
      <c r="Q46" s="7"/>
      <c r="R46" s="8"/>
      <c r="S46" s="5"/>
      <c r="U46" s="5"/>
    </row>
    <row r="47" spans="1:21" ht="15" customHeight="1">
      <c r="A47" s="3"/>
      <c r="B47" s="2"/>
      <c r="C47" s="2"/>
      <c r="D47" s="11"/>
      <c r="E47" s="2"/>
      <c r="F47" s="2"/>
      <c r="G47" s="3"/>
      <c r="H47" s="5"/>
      <c r="I47" s="5"/>
      <c r="J47" s="5"/>
      <c r="K47" s="5"/>
      <c r="L47" s="2"/>
      <c r="M47" s="5"/>
      <c r="N47" s="2"/>
      <c r="O47" s="2"/>
      <c r="P47" s="2"/>
      <c r="Q47" s="33"/>
      <c r="R47" s="8"/>
      <c r="S47" s="5"/>
      <c r="U47" s="5"/>
    </row>
    <row r="48" spans="1:21" ht="15" customHeight="1">
      <c r="A48" s="3"/>
      <c r="B48" s="2"/>
      <c r="C48" s="2"/>
      <c r="D48" s="11"/>
      <c r="E48" s="2"/>
      <c r="F48" s="2"/>
      <c r="G48" s="3"/>
      <c r="H48" s="5"/>
      <c r="I48" s="5"/>
      <c r="J48" s="5"/>
      <c r="K48" s="5"/>
      <c r="L48" s="2"/>
      <c r="M48" s="5"/>
      <c r="N48" s="2"/>
      <c r="O48" s="2"/>
      <c r="P48" s="5"/>
      <c r="Q48" s="7"/>
      <c r="R48" s="8"/>
      <c r="S48" s="5"/>
      <c r="U48" s="5"/>
    </row>
    <row r="49" spans="1:15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5"/>
      <c r="O49" s="5"/>
    </row>
    <row r="50" spans="1:15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5"/>
      <c r="O50" s="5"/>
    </row>
    <row r="51" spans="1:15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5"/>
      <c r="O51" s="5"/>
    </row>
    <row r="52" spans="1:15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5"/>
      <c r="O52" s="5"/>
    </row>
    <row r="53" spans="1:15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5"/>
      <c r="O53" s="5"/>
    </row>
    <row r="54" spans="1:15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"/>
      <c r="O54" s="5"/>
    </row>
    <row r="55" spans="1:15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"/>
      <c r="O55" s="5"/>
    </row>
    <row r="56" spans="1:15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5"/>
      <c r="O56" s="5"/>
    </row>
    <row r="57" spans="1:15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5"/>
      <c r="O57" s="5"/>
    </row>
    <row r="58" spans="1:15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5"/>
      <c r="O58" s="5"/>
    </row>
    <row r="59" spans="1:15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"/>
      <c r="O59" s="5"/>
    </row>
    <row r="60" spans="1:15" ht="1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5"/>
      <c r="O60" s="5"/>
    </row>
    <row r="61" spans="1:15" ht="1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5"/>
      <c r="O61" s="5"/>
    </row>
    <row r="62" spans="1:15" ht="1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5"/>
      <c r="O62" s="5"/>
    </row>
    <row r="63" spans="1:15" ht="1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5"/>
      <c r="O63" s="5"/>
    </row>
    <row r="64" spans="1:15" ht="1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5"/>
      <c r="O64" s="5"/>
    </row>
    <row r="65" spans="1:15" ht="15" customHeight="1">
      <c r="A65" s="3"/>
      <c r="B65" s="2"/>
      <c r="C65" s="2"/>
      <c r="D65" s="11"/>
      <c r="E65" s="2"/>
      <c r="F65" s="2"/>
      <c r="G65" s="3"/>
      <c r="H65" s="5"/>
      <c r="I65" s="5"/>
      <c r="J65" s="5"/>
      <c r="K65" s="5"/>
      <c r="L65" s="2"/>
      <c r="M65" s="5"/>
      <c r="N65" s="5"/>
      <c r="O65" s="5"/>
    </row>
    <row r="66" spans="1:15" ht="15" customHeight="1">
      <c r="A66" s="3"/>
      <c r="B66" s="2"/>
      <c r="C66" s="2"/>
      <c r="D66" s="11"/>
      <c r="E66" s="2"/>
      <c r="F66" s="2"/>
      <c r="G66" s="3"/>
      <c r="H66" s="5"/>
      <c r="I66" s="5"/>
      <c r="J66" s="5"/>
      <c r="K66" s="5"/>
      <c r="L66" s="2"/>
      <c r="M66" s="5"/>
      <c r="N66" s="5"/>
      <c r="O66" s="5"/>
    </row>
    <row r="67" spans="1:15" ht="15" customHeight="1">
      <c r="A67" s="3"/>
      <c r="B67" s="2"/>
      <c r="C67" s="2"/>
      <c r="D67" s="11"/>
      <c r="E67" s="2"/>
      <c r="F67" s="2"/>
      <c r="G67" s="3"/>
      <c r="H67" s="5"/>
      <c r="I67" s="5"/>
      <c r="J67" s="5"/>
      <c r="K67" s="5"/>
      <c r="L67" s="2"/>
      <c r="M67" s="5"/>
      <c r="N67" s="5"/>
      <c r="O67" s="5"/>
    </row>
    <row r="68" spans="1:15" ht="15" customHeight="1">
      <c r="A68" s="3"/>
      <c r="B68" s="2"/>
      <c r="C68" s="2"/>
      <c r="D68" s="11"/>
      <c r="E68" s="2"/>
      <c r="F68" s="2"/>
      <c r="G68" s="3"/>
      <c r="H68" s="5"/>
      <c r="I68" s="5"/>
      <c r="J68" s="5"/>
      <c r="K68" s="5"/>
      <c r="L68" s="2"/>
      <c r="M68" s="5"/>
      <c r="N68" s="5"/>
      <c r="O68" s="5"/>
    </row>
    <row r="69" spans="1:15" ht="15" customHeight="1">
      <c r="A69" s="3"/>
      <c r="B69" s="2"/>
      <c r="C69" s="2"/>
      <c r="D69" s="11"/>
      <c r="E69" s="2"/>
      <c r="F69" s="2"/>
      <c r="G69" s="3"/>
      <c r="H69" s="5"/>
      <c r="I69" s="5"/>
      <c r="J69" s="5"/>
      <c r="K69" s="5"/>
      <c r="L69" s="2"/>
      <c r="M69" s="5"/>
      <c r="N69" s="5"/>
      <c r="O69" s="5"/>
    </row>
    <row r="70" spans="1:15" ht="15" customHeight="1">
      <c r="A70" s="4"/>
      <c r="B70" s="5"/>
      <c r="C70" s="3"/>
      <c r="D70" s="11"/>
      <c r="E70" s="2"/>
      <c r="F70" s="2"/>
      <c r="G70" s="3"/>
      <c r="H70" s="5"/>
      <c r="I70" s="5"/>
      <c r="J70" s="5"/>
      <c r="K70" s="5"/>
      <c r="L70" s="2"/>
      <c r="M70" s="2"/>
      <c r="N70" s="2"/>
      <c r="O70" s="2"/>
    </row>
    <row r="71" spans="1:15" ht="15" customHeight="1">
      <c r="A71" s="8"/>
      <c r="B71" s="2"/>
      <c r="C71" s="14"/>
      <c r="D71" s="11"/>
      <c r="E71" s="2"/>
      <c r="F71" s="2"/>
      <c r="G71" s="3"/>
      <c r="H71" s="5"/>
      <c r="I71" s="5"/>
      <c r="J71" s="5"/>
      <c r="K71" s="2"/>
      <c r="L71" s="2"/>
      <c r="M71" s="2"/>
      <c r="N71" s="2"/>
      <c r="O71" s="2"/>
    </row>
    <row r="72" spans="1:15" ht="15" customHeight="1">
      <c r="A72" s="5"/>
      <c r="B72" s="5"/>
      <c r="C72" s="5"/>
      <c r="D72" s="11"/>
      <c r="E72" s="2"/>
      <c r="F72" s="2"/>
      <c r="G72" s="3"/>
      <c r="H72" s="5"/>
      <c r="I72" s="5"/>
      <c r="J72" s="5"/>
      <c r="K72" s="5"/>
      <c r="L72" s="2"/>
      <c r="M72" s="2"/>
      <c r="N72" s="2"/>
      <c r="O72" s="2"/>
    </row>
    <row r="73" spans="1:15" ht="15" customHeight="1">
      <c r="A73" s="35"/>
      <c r="B73" s="4"/>
      <c r="C73" s="4"/>
      <c r="D73" s="11"/>
      <c r="E73" s="2"/>
      <c r="F73" s="2"/>
      <c r="G73" s="3"/>
      <c r="H73" s="5"/>
      <c r="I73" s="5"/>
      <c r="J73" s="5"/>
      <c r="K73" s="2"/>
      <c r="L73" s="11"/>
      <c r="M73" s="2"/>
      <c r="N73" s="2"/>
      <c r="O73" s="2"/>
    </row>
    <row r="74" spans="1:15" ht="15" customHeight="1">
      <c r="A74" s="22"/>
      <c r="B74" s="4"/>
      <c r="C74" s="4"/>
      <c r="D74" s="11"/>
      <c r="E74" s="2"/>
      <c r="F74" s="2"/>
      <c r="G74" s="3"/>
      <c r="H74" s="5"/>
      <c r="I74" s="5"/>
      <c r="J74" s="5"/>
      <c r="K74" s="5"/>
      <c r="L74" s="2"/>
      <c r="M74" s="2"/>
      <c r="N74" s="2"/>
      <c r="O74" s="2"/>
    </row>
    <row r="75" spans="1:15" ht="15" customHeight="1">
      <c r="A75" s="22"/>
      <c r="B75" s="4"/>
      <c r="C75" s="4"/>
      <c r="D75" s="11"/>
      <c r="E75" s="2"/>
      <c r="F75" s="2"/>
      <c r="G75" s="3"/>
      <c r="H75" s="5"/>
      <c r="I75" s="5"/>
      <c r="J75" s="5"/>
      <c r="K75" s="5"/>
      <c r="L75" s="2"/>
      <c r="M75" s="2"/>
      <c r="N75" s="2"/>
      <c r="O75" s="2"/>
    </row>
    <row r="76" spans="1:15" ht="15" customHeight="1">
      <c r="A76" s="22"/>
      <c r="B76" s="4"/>
      <c r="C76" s="4"/>
      <c r="D76" s="11"/>
      <c r="E76" s="2"/>
      <c r="F76" s="2"/>
      <c r="G76" s="3"/>
      <c r="H76" s="5"/>
      <c r="I76" s="5"/>
      <c r="J76" s="5"/>
      <c r="K76" s="5"/>
      <c r="L76" s="2"/>
      <c r="M76" s="2"/>
      <c r="N76" s="2"/>
      <c r="O76" s="2"/>
    </row>
    <row r="77" spans="1:15" ht="15" customHeight="1">
      <c r="A77" s="22"/>
      <c r="B77" s="4"/>
      <c r="C77" s="4"/>
      <c r="D77" s="11"/>
      <c r="E77" s="2"/>
      <c r="F77" s="2"/>
      <c r="G77" s="3"/>
      <c r="H77" s="5"/>
      <c r="I77" s="5"/>
      <c r="J77" s="5"/>
      <c r="K77" s="5"/>
      <c r="L77" s="2"/>
      <c r="M77" s="2"/>
      <c r="N77" s="2"/>
      <c r="O77" s="2"/>
    </row>
    <row r="78" spans="1:15" ht="15" customHeight="1">
      <c r="A78" s="22"/>
      <c r="B78" s="4"/>
      <c r="C78" s="4"/>
      <c r="D78" s="11"/>
      <c r="E78" s="2"/>
      <c r="F78" s="2"/>
      <c r="G78" s="3"/>
      <c r="H78" s="5"/>
      <c r="I78" s="5"/>
      <c r="J78" s="5"/>
      <c r="K78" s="5"/>
      <c r="L78" s="2"/>
      <c r="M78" s="2"/>
      <c r="N78" s="2"/>
      <c r="O78" s="2"/>
    </row>
    <row r="79" spans="1:15" ht="15" customHeight="1">
      <c r="A79" s="22"/>
      <c r="B79" s="4"/>
      <c r="C79" s="4"/>
      <c r="D79" s="11"/>
      <c r="E79" s="2"/>
      <c r="F79" s="2"/>
      <c r="G79" s="3"/>
      <c r="H79" s="5"/>
      <c r="I79" s="5"/>
      <c r="J79" s="5"/>
      <c r="K79" s="5"/>
      <c r="L79" s="2"/>
      <c r="M79" s="2"/>
      <c r="N79" s="2"/>
      <c r="O79" s="2"/>
    </row>
    <row r="80" spans="1:15" ht="15" customHeight="1">
      <c r="A80" s="22"/>
      <c r="B80" s="4"/>
      <c r="C80" s="4"/>
      <c r="D80" s="11"/>
      <c r="E80" s="2"/>
      <c r="F80" s="2"/>
      <c r="G80" s="3"/>
      <c r="H80" s="5"/>
      <c r="I80" s="5"/>
      <c r="J80" s="5"/>
      <c r="K80" s="5"/>
      <c r="L80" s="2"/>
      <c r="M80" s="2"/>
      <c r="N80" s="2"/>
      <c r="O80" s="2"/>
    </row>
    <row r="81" spans="1:15" ht="15" customHeight="1">
      <c r="A81" s="22"/>
      <c r="B81" s="4"/>
      <c r="C81" s="4"/>
      <c r="D81" s="11"/>
      <c r="E81" s="2"/>
      <c r="F81" s="2"/>
      <c r="G81" s="3"/>
      <c r="H81" s="5"/>
      <c r="I81" s="5"/>
      <c r="J81" s="5"/>
      <c r="K81" s="5"/>
      <c r="L81" s="2"/>
      <c r="M81" s="2"/>
      <c r="N81" s="2"/>
      <c r="O81" s="2"/>
    </row>
    <row r="82" spans="1:15" ht="15" customHeight="1">
      <c r="A82" s="22"/>
      <c r="B82" s="4"/>
      <c r="C82" s="4"/>
      <c r="D82" s="11"/>
      <c r="E82" s="2"/>
      <c r="F82" s="2"/>
      <c r="G82" s="3"/>
      <c r="H82" s="5"/>
      <c r="I82" s="5"/>
      <c r="J82" s="5"/>
      <c r="K82" s="5"/>
      <c r="L82" s="2"/>
      <c r="M82" s="2"/>
      <c r="N82" s="2"/>
      <c r="O82" s="2"/>
    </row>
    <row r="83" spans="1:15" ht="15" customHeight="1">
      <c r="A83" s="22"/>
      <c r="B83" s="4"/>
      <c r="C83" s="4"/>
      <c r="D83" s="11"/>
      <c r="E83" s="2"/>
      <c r="F83" s="2"/>
      <c r="G83" s="3"/>
      <c r="H83" s="5"/>
      <c r="I83" s="5"/>
      <c r="J83" s="5"/>
      <c r="K83" s="5"/>
      <c r="L83" s="2"/>
      <c r="M83" s="2"/>
      <c r="N83" s="2"/>
      <c r="O83" s="2"/>
    </row>
    <row r="84" spans="1:15" ht="15" customHeight="1">
      <c r="A84" s="3"/>
      <c r="B84" s="2"/>
      <c r="C84" s="2"/>
      <c r="D84" s="11"/>
      <c r="E84" s="2"/>
      <c r="F84" s="2"/>
      <c r="G84" s="3"/>
      <c r="H84" s="5"/>
      <c r="I84" s="5"/>
      <c r="J84" s="5"/>
      <c r="K84" s="5"/>
      <c r="L84" s="2"/>
      <c r="M84" s="36"/>
      <c r="N84" s="5"/>
      <c r="O84" s="5"/>
    </row>
    <row r="85" spans="1:15" ht="15" customHeight="1">
      <c r="A85" s="3"/>
      <c r="B85" s="2"/>
      <c r="C85" s="2"/>
      <c r="D85" s="11"/>
      <c r="E85" s="2"/>
      <c r="F85" s="2"/>
      <c r="G85" s="3"/>
      <c r="H85" s="5"/>
      <c r="I85" s="5"/>
      <c r="J85" s="5"/>
      <c r="K85" s="5"/>
      <c r="L85" s="2"/>
      <c r="M85" s="36"/>
      <c r="N85" s="5"/>
      <c r="O85" s="5"/>
    </row>
    <row r="86" spans="1:15" ht="15" customHeight="1">
      <c r="A86" s="3"/>
      <c r="B86" s="2"/>
      <c r="C86" s="2"/>
      <c r="D86" s="11"/>
      <c r="E86" s="2"/>
      <c r="F86" s="2"/>
      <c r="G86" s="3"/>
      <c r="H86" s="5"/>
      <c r="I86" s="5"/>
      <c r="J86" s="5"/>
      <c r="K86" s="5"/>
      <c r="L86" s="2"/>
      <c r="M86" s="5"/>
      <c r="N86" s="5"/>
      <c r="O86" s="5"/>
    </row>
    <row r="87" spans="1:15" ht="15" customHeight="1">
      <c r="A87" s="3"/>
      <c r="B87" s="2"/>
      <c r="C87" s="2"/>
      <c r="D87" s="11"/>
      <c r="E87" s="2"/>
      <c r="F87" s="2"/>
      <c r="G87" s="3"/>
      <c r="H87" s="5"/>
      <c r="I87" s="5"/>
      <c r="J87" s="5"/>
      <c r="K87" s="5"/>
      <c r="L87" s="2"/>
      <c r="M87" s="5"/>
      <c r="N87" s="5"/>
      <c r="O87" s="5"/>
    </row>
    <row r="88" spans="1:15" ht="15" customHeight="1">
      <c r="A88" s="3"/>
      <c r="B88" s="2"/>
      <c r="C88" s="2"/>
      <c r="D88" s="11"/>
      <c r="E88" s="2"/>
      <c r="F88" s="2"/>
      <c r="G88" s="3"/>
      <c r="H88" s="5"/>
      <c r="I88" s="5"/>
      <c r="J88" s="5"/>
      <c r="K88" s="5"/>
      <c r="L88" s="2"/>
      <c r="M88" s="5"/>
      <c r="N88" s="5"/>
      <c r="O88" s="5"/>
    </row>
    <row r="89" spans="1:15" ht="15" customHeight="1">
      <c r="A89" s="3"/>
      <c r="B89" s="2"/>
      <c r="C89" s="2"/>
      <c r="D89" s="11"/>
      <c r="E89" s="2"/>
      <c r="F89" s="2"/>
      <c r="G89" s="3"/>
      <c r="H89" s="5"/>
      <c r="I89" s="5"/>
      <c r="J89" s="5"/>
      <c r="K89" s="5"/>
      <c r="L89" s="2"/>
      <c r="M89" s="5"/>
      <c r="N89" s="5"/>
      <c r="O89" s="5"/>
    </row>
    <row r="90" spans="1:15" ht="15" customHeight="1">
      <c r="A90" s="3"/>
      <c r="B90" s="2"/>
      <c r="C90" s="2"/>
      <c r="D90" s="11"/>
      <c r="E90" s="2"/>
      <c r="F90" s="2"/>
      <c r="G90" s="3"/>
      <c r="H90" s="5"/>
      <c r="I90" s="5"/>
      <c r="J90" s="5"/>
      <c r="K90" s="5"/>
      <c r="L90" s="2"/>
      <c r="M90" s="5"/>
      <c r="N90" s="5"/>
      <c r="O90" s="5"/>
    </row>
    <row r="91" spans="1:15" ht="15" customHeight="1">
      <c r="A91" s="3"/>
      <c r="B91" s="2"/>
      <c r="C91" s="2"/>
      <c r="D91" s="11"/>
      <c r="E91" s="2"/>
      <c r="F91" s="2"/>
      <c r="G91" s="3"/>
      <c r="H91" s="5"/>
      <c r="I91" s="5"/>
      <c r="J91" s="5"/>
      <c r="K91" s="5"/>
      <c r="L91" s="2"/>
      <c r="M91" s="5"/>
      <c r="N91" s="5"/>
      <c r="O91" s="5"/>
    </row>
    <row r="92" spans="1:15" ht="15" customHeight="1">
      <c r="A92" s="3"/>
      <c r="B92" s="2"/>
      <c r="C92" s="2"/>
      <c r="D92" s="11"/>
      <c r="E92" s="2"/>
      <c r="F92" s="2"/>
      <c r="G92" s="3"/>
      <c r="H92" s="5"/>
      <c r="I92" s="5"/>
      <c r="J92" s="5"/>
      <c r="K92" s="5"/>
      <c r="L92" s="2"/>
      <c r="M92" s="5"/>
      <c r="N92" s="5"/>
      <c r="O92" s="5"/>
    </row>
    <row r="93" spans="1:15" ht="15" customHeight="1">
      <c r="A93" s="3"/>
      <c r="B93" s="2"/>
      <c r="C93" s="2"/>
      <c r="D93" s="11"/>
      <c r="E93" s="2"/>
      <c r="F93" s="2"/>
      <c r="G93" s="3"/>
      <c r="H93" s="5"/>
      <c r="I93" s="5"/>
      <c r="J93" s="5"/>
      <c r="K93" s="5"/>
      <c r="L93" s="2"/>
      <c r="M93" s="5"/>
      <c r="N93" s="5"/>
      <c r="O93" s="5"/>
    </row>
    <row r="94" spans="1:15" ht="15" customHeight="1">
      <c r="A94" s="3"/>
      <c r="B94" s="2"/>
      <c r="C94" s="2"/>
      <c r="D94" s="11"/>
      <c r="E94" s="2"/>
      <c r="F94" s="2"/>
      <c r="G94" s="3"/>
      <c r="H94" s="5"/>
      <c r="I94" s="5"/>
      <c r="J94" s="5"/>
      <c r="K94" s="5"/>
      <c r="L94" s="2"/>
      <c r="M94" s="5"/>
      <c r="N94" s="5"/>
      <c r="O94" s="5"/>
    </row>
    <row r="95" spans="1:15" ht="15" customHeight="1">
      <c r="A95" s="3"/>
      <c r="B95" s="2"/>
      <c r="C95" s="2"/>
      <c r="D95" s="11"/>
      <c r="E95" s="2"/>
      <c r="F95" s="2"/>
      <c r="G95" s="3"/>
      <c r="H95" s="5"/>
      <c r="I95" s="5"/>
      <c r="J95" s="5"/>
      <c r="K95" s="5"/>
      <c r="L95" s="2"/>
      <c r="M95" s="5"/>
      <c r="N95" s="5"/>
      <c r="O95" s="5"/>
    </row>
    <row r="96" spans="1:15" ht="15" customHeight="1">
      <c r="A96" s="3"/>
      <c r="B96" s="2"/>
      <c r="C96" s="2"/>
      <c r="D96" s="11"/>
      <c r="E96" s="2"/>
      <c r="F96" s="2"/>
      <c r="G96" s="3"/>
      <c r="H96" s="5"/>
      <c r="I96" s="5"/>
      <c r="J96" s="5"/>
      <c r="K96" s="5"/>
      <c r="L96" s="2"/>
      <c r="M96" s="5"/>
      <c r="N96" s="5"/>
      <c r="O9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6"/>
  <sheetViews>
    <sheetView showGridLines="0" showOutlineSymbols="0" zoomScale="70" zoomScaleNormal="70" workbookViewId="0" topLeftCell="A1">
      <selection activeCell="K6" sqref="K6"/>
    </sheetView>
  </sheetViews>
  <sheetFormatPr defaultColWidth="9.140625" defaultRowHeight="12.75"/>
  <cols>
    <col min="1" max="1" width="13.421875" style="6" customWidth="1"/>
    <col min="2" max="2" width="10.7109375" style="6" customWidth="1"/>
    <col min="3" max="3" width="10.421875" style="6" customWidth="1"/>
    <col min="4" max="4" width="15.57421875" style="6" customWidth="1"/>
    <col min="5" max="5" width="10.7109375" style="6" customWidth="1"/>
    <col min="6" max="7" width="6.57421875" style="6" customWidth="1"/>
    <col min="8" max="11" width="7.7109375" style="6" customWidth="1"/>
    <col min="12" max="12" width="6.57421875" style="6" customWidth="1"/>
    <col min="13" max="16" width="7.7109375" style="6" customWidth="1"/>
    <col min="17" max="17" width="8.421875" style="12" customWidth="1"/>
    <col min="18" max="18" width="6.00390625" style="6" customWidth="1"/>
    <col min="19" max="19" width="6.57421875" style="6" customWidth="1"/>
    <col min="20" max="20" width="7.28125" style="9" customWidth="1"/>
    <col min="21" max="21" width="7.421875" style="6" customWidth="1"/>
    <col min="22" max="22" width="7.7109375" style="6" customWidth="1"/>
    <col min="23" max="23" width="11.140625" style="17" customWidth="1"/>
    <col min="24" max="24" width="8.8515625" style="17" customWidth="1"/>
    <col min="25" max="25" width="8.140625" style="6" customWidth="1"/>
    <col min="26" max="26" width="7.57421875" style="6" customWidth="1"/>
    <col min="27" max="31" width="10.00390625" style="6" customWidth="1"/>
    <col min="32" max="16384" width="11.140625" style="6" customWidth="1"/>
  </cols>
  <sheetData>
    <row r="1" spans="1:31" ht="15">
      <c r="A1" s="1" t="s">
        <v>0</v>
      </c>
      <c r="B1" s="2"/>
      <c r="C1" s="2"/>
      <c r="D1" s="2"/>
      <c r="E1" s="2" t="s">
        <v>79</v>
      </c>
      <c r="F1" s="2" t="s">
        <v>80</v>
      </c>
      <c r="G1" s="2"/>
      <c r="H1" s="3" t="s">
        <v>78</v>
      </c>
      <c r="I1" s="4" t="s">
        <v>3</v>
      </c>
      <c r="J1" s="5"/>
      <c r="N1" s="5"/>
      <c r="O1" s="5"/>
      <c r="P1" s="5"/>
      <c r="Q1" s="7"/>
      <c r="R1" s="8"/>
      <c r="S1" s="5"/>
      <c r="U1" s="5"/>
      <c r="V1" s="2"/>
      <c r="W1" s="8"/>
      <c r="X1" s="8"/>
      <c r="Y1" s="2"/>
      <c r="Z1" s="2"/>
      <c r="AA1" s="2"/>
      <c r="AB1" s="2"/>
      <c r="AC1" s="2"/>
      <c r="AD1" s="2"/>
      <c r="AE1" s="2"/>
    </row>
    <row r="2" spans="1:31" ht="15.75">
      <c r="A2" s="3" t="s">
        <v>4</v>
      </c>
      <c r="B2" s="10" t="s">
        <v>5</v>
      </c>
      <c r="C2" s="2"/>
      <c r="D2" s="11"/>
      <c r="E2" s="2"/>
      <c r="F2" s="2"/>
      <c r="G2" s="3"/>
      <c r="I2" s="5"/>
      <c r="J2" s="5"/>
      <c r="M2" s="2"/>
      <c r="N2" s="3" t="s">
        <v>6</v>
      </c>
      <c r="O2" s="58">
        <f>1000/$O$6</f>
        <v>0.7350000000000001</v>
      </c>
      <c r="R2" s="8"/>
      <c r="S2" s="5"/>
      <c r="U2" s="5"/>
      <c r="V2" s="2"/>
      <c r="W2" s="8"/>
      <c r="X2" s="8"/>
      <c r="Y2" s="2"/>
      <c r="Z2" s="2"/>
      <c r="AA2" s="2"/>
      <c r="AB2" s="2"/>
      <c r="AC2" s="2"/>
      <c r="AD2" s="2"/>
      <c r="AE2" s="2"/>
    </row>
    <row r="3" spans="1:31" ht="15" customHeight="1">
      <c r="A3" s="2"/>
      <c r="B3" s="2"/>
      <c r="C3" s="2"/>
      <c r="D3" s="2"/>
      <c r="E3" s="2"/>
      <c r="F3" s="2"/>
      <c r="G3" s="2"/>
      <c r="H3" s="2"/>
      <c r="I3" s="5"/>
      <c r="J3" s="5"/>
      <c r="K3" s="2"/>
      <c r="M3" s="2"/>
      <c r="N3" s="3" t="s">
        <v>7</v>
      </c>
      <c r="O3" s="58">
        <f>IF($B$4&gt;1000,$E$7/1.5,$E$7/3.5)</f>
        <v>0.3333333333333333</v>
      </c>
      <c r="R3" s="8"/>
      <c r="S3" s="5"/>
      <c r="U3" s="5"/>
      <c r="V3" s="2"/>
      <c r="W3" s="8"/>
      <c r="X3" s="8"/>
      <c r="Y3" s="2"/>
      <c r="Z3" s="2"/>
      <c r="AA3" s="2"/>
      <c r="AB3" s="2"/>
      <c r="AC3" s="2"/>
      <c r="AD3" s="2"/>
      <c r="AE3" s="2"/>
    </row>
    <row r="4" spans="1:31" ht="15" customHeight="1">
      <c r="A4" s="3" t="s">
        <v>71</v>
      </c>
      <c r="B4" s="66">
        <v>1270</v>
      </c>
      <c r="C4" s="2"/>
      <c r="D4" s="11" t="s">
        <v>8</v>
      </c>
      <c r="E4" s="14">
        <v>100000</v>
      </c>
      <c r="H4" s="2"/>
      <c r="I4" s="3" t="s">
        <v>9</v>
      </c>
      <c r="J4" s="13">
        <v>5</v>
      </c>
      <c r="N4" s="3" t="s">
        <v>10</v>
      </c>
      <c r="O4" s="49">
        <f>B7*1.518</f>
        <v>0.39468000000000003</v>
      </c>
      <c r="P4" s="2" t="s">
        <v>11</v>
      </c>
      <c r="Q4" s="1" t="s">
        <v>12</v>
      </c>
      <c r="R4" s="7"/>
      <c r="S4" s="5"/>
      <c r="U4" s="5"/>
      <c r="V4" s="2"/>
      <c r="W4" s="8"/>
      <c r="X4" s="8"/>
      <c r="Y4" s="2"/>
      <c r="Z4" s="2"/>
      <c r="AA4" s="2"/>
      <c r="AB4" s="2"/>
      <c r="AC4" s="2"/>
      <c r="AD4" s="2"/>
      <c r="AE4" s="2"/>
    </row>
    <row r="5" spans="1:31" ht="15" customHeight="1">
      <c r="A5" s="3" t="s">
        <v>13</v>
      </c>
      <c r="B5" s="15">
        <v>4</v>
      </c>
      <c r="C5" s="2"/>
      <c r="D5" s="11" t="s">
        <v>14</v>
      </c>
      <c r="E5" s="14">
        <v>0.093</v>
      </c>
      <c r="H5" s="2"/>
      <c r="I5" s="3" t="s">
        <v>15</v>
      </c>
      <c r="J5" s="13">
        <v>0.01</v>
      </c>
      <c r="K5" s="5"/>
      <c r="L5" s="2"/>
      <c r="M5" s="5"/>
      <c r="N5" s="3" t="s">
        <v>16</v>
      </c>
      <c r="O5" s="58">
        <v>0.7</v>
      </c>
      <c r="Q5" s="1" t="s">
        <v>17</v>
      </c>
      <c r="R5" s="7"/>
      <c r="U5" s="5"/>
      <c r="V5" s="2"/>
      <c r="W5" s="8"/>
      <c r="X5" s="8"/>
      <c r="Y5" s="2"/>
      <c r="Z5" s="2"/>
      <c r="AA5" s="2"/>
      <c r="AB5" s="2"/>
      <c r="AC5" s="2"/>
      <c r="AD5" s="2"/>
      <c r="AE5" s="2"/>
    </row>
    <row r="6" spans="1:31" ht="15" customHeight="1">
      <c r="A6" s="3" t="s">
        <v>18</v>
      </c>
      <c r="B6" s="14">
        <v>9</v>
      </c>
      <c r="C6" s="2"/>
      <c r="D6" s="11" t="s">
        <v>72</v>
      </c>
      <c r="E6" s="14">
        <v>1324</v>
      </c>
      <c r="H6" s="2"/>
      <c r="I6" s="3" t="s">
        <v>19</v>
      </c>
      <c r="J6" s="16">
        <v>480</v>
      </c>
      <c r="K6" s="6" t="s">
        <v>81</v>
      </c>
      <c r="M6" s="5"/>
      <c r="N6" s="11" t="s">
        <v>20</v>
      </c>
      <c r="O6" s="62">
        <f>(O7)</f>
        <v>1360.5442176870747</v>
      </c>
      <c r="P6" s="8"/>
      <c r="Q6" s="5"/>
      <c r="U6" s="5"/>
      <c r="V6" s="2"/>
      <c r="W6" s="8"/>
      <c r="Z6" s="2"/>
      <c r="AA6" s="2"/>
      <c r="AB6" s="2"/>
      <c r="AC6" s="2"/>
      <c r="AD6" s="2"/>
      <c r="AE6" s="2"/>
    </row>
    <row r="7" spans="1:31" ht="15" customHeight="1">
      <c r="A7" s="3" t="s">
        <v>21</v>
      </c>
      <c r="B7" s="14">
        <v>0.26</v>
      </c>
      <c r="C7" s="2" t="s">
        <v>11</v>
      </c>
      <c r="D7" s="11" t="s">
        <v>22</v>
      </c>
      <c r="E7" s="14">
        <v>0.5</v>
      </c>
      <c r="H7" s="2"/>
      <c r="I7" s="3" t="s">
        <v>23</v>
      </c>
      <c r="J7" s="15">
        <v>7.037</v>
      </c>
      <c r="K7" s="5"/>
      <c r="M7" s="5"/>
      <c r="N7" s="11" t="s">
        <v>24</v>
      </c>
      <c r="O7" s="63">
        <f>1/((1/$E$8)-$J$9*10^-6)</f>
        <v>1360.5442176870747</v>
      </c>
      <c r="P7" s="8"/>
      <c r="Q7" s="5"/>
      <c r="U7" s="5"/>
      <c r="V7" s="2"/>
      <c r="Z7" s="2"/>
      <c r="AA7" s="2"/>
      <c r="AB7" s="2"/>
      <c r="AC7" s="2"/>
      <c r="AD7" s="2"/>
      <c r="AE7" s="2"/>
    </row>
    <row r="8" spans="1:31" ht="15" customHeight="1">
      <c r="A8" s="3" t="s">
        <v>25</v>
      </c>
      <c r="B8" s="14">
        <v>-120</v>
      </c>
      <c r="C8" s="2"/>
      <c r="D8" s="3" t="s">
        <v>26</v>
      </c>
      <c r="E8" s="18">
        <v>1250</v>
      </c>
      <c r="F8" s="2"/>
      <c r="G8" s="5"/>
      <c r="H8" s="5"/>
      <c r="I8" s="11" t="s">
        <v>27</v>
      </c>
      <c r="J8" s="16">
        <f>2.5*10^5/$E$8</f>
        <v>200</v>
      </c>
      <c r="N8" s="3" t="s">
        <v>28</v>
      </c>
      <c r="O8" s="64">
        <f>(10^-6)*$J$8*$O$7</f>
        <v>0.27210884353741494</v>
      </c>
      <c r="P8" s="8"/>
      <c r="Q8" s="5"/>
      <c r="U8" s="5"/>
      <c r="V8" s="2"/>
      <c r="W8" s="8"/>
      <c r="X8" s="8"/>
      <c r="Y8" s="2"/>
      <c r="Z8" s="2"/>
      <c r="AA8" s="2"/>
      <c r="AB8" s="2"/>
      <c r="AC8" s="2"/>
      <c r="AD8" s="2"/>
      <c r="AE8" s="2"/>
    </row>
    <row r="9" spans="1:31" ht="15" customHeight="1">
      <c r="A9" s="3" t="s">
        <v>29</v>
      </c>
      <c r="B9" s="14">
        <v>0.8</v>
      </c>
      <c r="C9" s="2"/>
      <c r="D9" s="11" t="s">
        <v>30</v>
      </c>
      <c r="E9" s="14">
        <v>1000</v>
      </c>
      <c r="F9" s="2"/>
      <c r="G9" s="5"/>
      <c r="I9" s="11" t="s">
        <v>31</v>
      </c>
      <c r="J9" s="14">
        <v>65</v>
      </c>
      <c r="K9" s="5"/>
      <c r="M9" s="5"/>
      <c r="N9" s="3" t="s">
        <v>32</v>
      </c>
      <c r="O9" s="65">
        <f>(O8)</f>
        <v>0.27210884353741494</v>
      </c>
      <c r="P9" s="8"/>
      <c r="Q9" s="5"/>
      <c r="U9" s="5"/>
      <c r="V9" s="2"/>
      <c r="X9" s="8"/>
      <c r="Y9" s="2"/>
      <c r="Z9" s="2"/>
      <c r="AA9" s="2"/>
      <c r="AB9" s="2"/>
      <c r="AC9" s="2"/>
      <c r="AD9" s="2"/>
      <c r="AE9" s="2"/>
    </row>
    <row r="10" spans="1:31" ht="15" customHeight="1">
      <c r="A10" s="3" t="s">
        <v>33</v>
      </c>
      <c r="B10" s="14">
        <v>0</v>
      </c>
      <c r="C10" s="2"/>
      <c r="D10" s="11" t="s">
        <v>34</v>
      </c>
      <c r="E10" s="14">
        <v>8</v>
      </c>
      <c r="F10" s="2"/>
      <c r="G10" s="2"/>
      <c r="I10" s="11" t="s">
        <v>35</v>
      </c>
      <c r="J10" s="19">
        <v>-11</v>
      </c>
      <c r="M10" s="5"/>
      <c r="N10" s="3" t="s">
        <v>36</v>
      </c>
      <c r="O10" s="51">
        <f>S34-R34</f>
        <v>0.45678880791660603</v>
      </c>
      <c r="P10" s="5" t="s">
        <v>37</v>
      </c>
      <c r="Q10" s="5"/>
      <c r="S10" s="5"/>
      <c r="U10" s="5"/>
      <c r="V10" s="2"/>
      <c r="W10" s="20" t="s">
        <v>38</v>
      </c>
      <c r="X10" s="8"/>
      <c r="Z10" s="2"/>
      <c r="AA10" s="2"/>
      <c r="AB10" s="2"/>
      <c r="AC10" s="2"/>
      <c r="AD10" s="2"/>
      <c r="AE10" s="2"/>
    </row>
    <row r="11" spans="1:31" ht="15" customHeight="1">
      <c r="A11" s="2"/>
      <c r="B11" s="2"/>
      <c r="C11" s="2"/>
      <c r="D11" s="11" t="s">
        <v>39</v>
      </c>
      <c r="E11" s="14">
        <v>2</v>
      </c>
      <c r="F11" s="2"/>
      <c r="G11" s="3"/>
      <c r="I11" s="3" t="s">
        <v>40</v>
      </c>
      <c r="J11" s="21">
        <v>9</v>
      </c>
      <c r="K11" s="22"/>
      <c r="L11" s="22"/>
      <c r="M11" s="22"/>
      <c r="N11" s="22"/>
      <c r="O11" s="23"/>
      <c r="P11" s="22"/>
      <c r="Q11" s="23"/>
      <c r="R11" s="22"/>
      <c r="S11" s="22"/>
      <c r="U11" s="22"/>
      <c r="V11" s="2"/>
      <c r="W11" s="20" t="s">
        <v>41</v>
      </c>
      <c r="X11" s="8" t="s">
        <v>42</v>
      </c>
      <c r="Z11" s="24" t="s">
        <v>43</v>
      </c>
      <c r="AA11" s="2"/>
      <c r="AB11" s="2"/>
      <c r="AC11" s="2"/>
      <c r="AD11" s="2"/>
      <c r="AE11" s="2"/>
    </row>
    <row r="12" spans="1:31" ht="15" customHeight="1">
      <c r="A12" s="2"/>
      <c r="B12" s="8" t="s">
        <v>73</v>
      </c>
      <c r="C12" s="8" t="s">
        <v>51</v>
      </c>
      <c r="D12" s="2"/>
      <c r="E12" s="2"/>
      <c r="F12" s="2"/>
      <c r="G12" s="3"/>
      <c r="H12" s="25" t="s">
        <v>44</v>
      </c>
      <c r="I12" s="11" t="s">
        <v>44</v>
      </c>
      <c r="J12" s="2"/>
      <c r="K12" s="5"/>
      <c r="L12" s="11" t="s">
        <v>44</v>
      </c>
      <c r="M12" s="11"/>
      <c r="N12" s="11" t="s">
        <v>44</v>
      </c>
      <c r="O12" s="11" t="s">
        <v>44</v>
      </c>
      <c r="P12" s="11" t="s">
        <v>44</v>
      </c>
      <c r="Q12" s="26" t="s">
        <v>44</v>
      </c>
      <c r="R12" s="8" t="s">
        <v>44</v>
      </c>
      <c r="S12" s="5" t="s">
        <v>44</v>
      </c>
      <c r="T12" s="4" t="s">
        <v>44</v>
      </c>
      <c r="U12" s="4" t="s">
        <v>45</v>
      </c>
      <c r="V12" s="27" t="s">
        <v>44</v>
      </c>
      <c r="W12" s="28" t="s">
        <v>46</v>
      </c>
      <c r="X12" s="8" t="s">
        <v>47</v>
      </c>
      <c r="Y12" s="24" t="s">
        <v>48</v>
      </c>
      <c r="Z12" s="8" t="s">
        <v>49</v>
      </c>
      <c r="AA12" s="2"/>
      <c r="AB12" s="2"/>
      <c r="AC12" s="2"/>
      <c r="AD12" s="2"/>
      <c r="AE12" s="2"/>
    </row>
    <row r="13" spans="1:31" ht="15" customHeight="1">
      <c r="A13" s="3" t="s">
        <v>50</v>
      </c>
      <c r="B13" s="8" t="s">
        <v>74</v>
      </c>
      <c r="C13" s="8" t="s">
        <v>74</v>
      </c>
      <c r="D13" s="29" t="s">
        <v>75</v>
      </c>
      <c r="E13" s="29" t="s">
        <v>76</v>
      </c>
      <c r="F13" s="2" t="s">
        <v>77</v>
      </c>
      <c r="G13" s="3" t="s">
        <v>52</v>
      </c>
      <c r="H13" s="25" t="s">
        <v>53</v>
      </c>
      <c r="I13" s="11" t="s">
        <v>54</v>
      </c>
      <c r="J13" s="8" t="s">
        <v>55</v>
      </c>
      <c r="K13" s="5" t="s">
        <v>56</v>
      </c>
      <c r="L13" s="11" t="s">
        <v>57</v>
      </c>
      <c r="M13" s="11" t="s">
        <v>58</v>
      </c>
      <c r="N13" s="11" t="s">
        <v>59</v>
      </c>
      <c r="O13" s="11" t="s">
        <v>60</v>
      </c>
      <c r="P13" s="11" t="s">
        <v>61</v>
      </c>
      <c r="Q13" s="26" t="s">
        <v>62</v>
      </c>
      <c r="R13" s="8" t="s">
        <v>63</v>
      </c>
      <c r="S13" s="30" t="s">
        <v>64</v>
      </c>
      <c r="T13" s="4" t="s">
        <v>65</v>
      </c>
      <c r="U13" s="5" t="s">
        <v>66</v>
      </c>
      <c r="V13" s="27" t="s">
        <v>47</v>
      </c>
      <c r="W13" s="8" t="s">
        <v>67</v>
      </c>
      <c r="X13" s="8" t="s">
        <v>68</v>
      </c>
      <c r="Y13" s="8" t="s">
        <v>69</v>
      </c>
      <c r="Z13" s="8" t="s">
        <v>69</v>
      </c>
      <c r="AA13" s="2"/>
      <c r="AB13" s="2"/>
      <c r="AC13" s="2"/>
      <c r="AD13" s="2"/>
      <c r="AE13" s="2"/>
    </row>
    <row r="14" spans="1:31" s="47" customFormat="1" ht="15" customHeight="1">
      <c r="A14" s="37">
        <f>$J$4</f>
        <v>5</v>
      </c>
      <c r="B14" s="40">
        <f aca="true" t="shared" si="0" ref="B14:B34">0.25*$E$5*$B$4*(1-($E$6/$B$4)^4)</f>
        <v>-5.35147669302665</v>
      </c>
      <c r="C14" s="68">
        <f aca="true" t="shared" si="1" ref="C14:C34">0.7*$E$5*$B$5</f>
        <v>0.26039999999999996</v>
      </c>
      <c r="D14" s="39">
        <f aca="true" t="shared" si="2" ref="D14:D34">(0.187/(A14*$B$5))*(10^6/(B14^2+C14^2)^(0.5))</f>
        <v>1745.116526174541</v>
      </c>
      <c r="E14" s="39">
        <f aca="true" t="shared" si="3" ref="E14:E34">$E$4/A14</f>
        <v>20000</v>
      </c>
      <c r="F14" s="40">
        <f aca="true" t="shared" si="4" ref="F14:F34">SQRT(($J$6/D14)^2+($J$6/E14)^2+$O$4^2)</f>
        <v>0.4816664836935014</v>
      </c>
      <c r="G14" s="37">
        <f aca="true" t="shared" si="5" ref="G14:G34">SQRT(F14^2+(350/$E$9)^2)</f>
        <v>0.595401210540978</v>
      </c>
      <c r="H14" s="41">
        <f aca="true" t="shared" si="6" ref="H14:H34">-10*LOG10(1-1.425*EXP(-1.28*($O$2/G14)^2))</f>
        <v>0.9833557282994319</v>
      </c>
      <c r="I14" s="40">
        <f aca="true" t="shared" si="7" ref="I14:I34">A14*$O$3*((1/(0.00094*$B$4)^4)+1.05)</f>
        <v>2.5705828789589695</v>
      </c>
      <c r="J14" s="38">
        <f aca="true" t="shared" si="8" ref="J14:J34">(10^-6)*3.14*$O$6*B14*A14*$B$5</f>
        <v>-0.4572418181252702</v>
      </c>
      <c r="K14" s="40">
        <f aca="true" t="shared" si="9" ref="K14:K34">($B$9/SQRT(2))*(1-EXP(-1*J14^2))</f>
        <v>0.10672313158838939</v>
      </c>
      <c r="L14" s="40">
        <f aca="true" t="shared" si="10" ref="L14:L34">10*LOG10(1/SQRT(1-($J$7*K14)^2))</f>
        <v>1.8026524068405372</v>
      </c>
      <c r="M14" s="40">
        <f aca="true" t="shared" si="11" ref="M14:M34">$O$5*10^6*($J$6/G14)*10^($B$8/10)</f>
        <v>0.0005643253558297477</v>
      </c>
      <c r="N14" s="40">
        <f aca="true" t="shared" si="12" ref="N14:N34">10*LOG10(1/SQRT(1-($J$7^2)*M14))</f>
        <v>0.06154588683712472</v>
      </c>
      <c r="O14" s="40">
        <f aca="true" t="shared" si="13" ref="O14:O34">Y14-Z14</f>
        <v>0</v>
      </c>
      <c r="P14" s="40">
        <f aca="true" t="shared" si="14" ref="P14:P34">$B$10</f>
        <v>0</v>
      </c>
      <c r="Q14" s="42">
        <f aca="true" t="shared" si="15" ref="Q14:Q34">-10*LOG10((2*SIN(3.1416*$O$9))/(3.1416*$O$9*(1-$O$9^2))-1)</f>
        <v>0.4272678533619223</v>
      </c>
      <c r="R14" s="43">
        <f aca="true" t="shared" si="16" ref="R14:R34">$E$10-$E$11</f>
        <v>6</v>
      </c>
      <c r="S14" s="44">
        <f aca="true" t="shared" si="17" ref="S14:S34">H14+I14+L14+N14+O14+P14+Q14</f>
        <v>5.845404754297985</v>
      </c>
      <c r="T14" s="40">
        <f aca="true" t="shared" si="18" ref="T14:T34">$E$11+I14</f>
        <v>4.5705828789589695</v>
      </c>
      <c r="U14" s="40">
        <f aca="true" t="shared" si="19" ref="U14:U34">S14-I14</f>
        <v>3.2748218753390157</v>
      </c>
      <c r="V14" s="45">
        <f aca="true" t="shared" si="20" ref="V14:V34">R14-S14</f>
        <v>0.15459524570201477</v>
      </c>
      <c r="W14" s="46">
        <f aca="true" t="shared" si="21" ref="W14:W34">$J$10-T14-Q14-O14</f>
        <v>-15.997850732320892</v>
      </c>
      <c r="X14" s="43"/>
      <c r="Y14" s="40">
        <f aca="true" t="shared" si="22" ref="Y14:Y34">10*LOG10((1+10^(-($B$6/10)))/(1-10^(-($B$6/10))))</f>
        <v>1.0993211590790997</v>
      </c>
      <c r="Z14" s="40">
        <f aca="true" t="shared" si="23" ref="Z14:Z34">10*LOG10((1+10^(-($J$11/10)))/(1-10^(-($J$11/10))))</f>
        <v>1.0993211590790997</v>
      </c>
      <c r="AA14" s="38"/>
      <c r="AB14" s="38"/>
      <c r="AC14" s="38"/>
      <c r="AD14" s="38"/>
      <c r="AE14" s="38"/>
    </row>
    <row r="15" spans="1:31" s="59" customFormat="1" ht="15" customHeight="1">
      <c r="A15" s="48">
        <f aca="true" t="shared" si="24" ref="A15:A34">A14+$J$5</f>
        <v>5.01</v>
      </c>
      <c r="B15" s="51">
        <f t="shared" si="0"/>
        <v>-5.35147669302665</v>
      </c>
      <c r="C15" s="69">
        <f t="shared" si="1"/>
        <v>0.26039999999999996</v>
      </c>
      <c r="D15" s="50">
        <f t="shared" si="2"/>
        <v>1741.6332596552304</v>
      </c>
      <c r="E15" s="50">
        <f t="shared" si="3"/>
        <v>19960.079840319362</v>
      </c>
      <c r="F15" s="51">
        <f t="shared" si="4"/>
        <v>0.4819832233919695</v>
      </c>
      <c r="G15" s="48">
        <f t="shared" si="5"/>
        <v>0.5956574750906036</v>
      </c>
      <c r="H15" s="52">
        <f t="shared" si="6"/>
        <v>0.9852095015601674</v>
      </c>
      <c r="I15" s="51">
        <f t="shared" si="7"/>
        <v>2.5757240447168877</v>
      </c>
      <c r="J15" s="49">
        <f t="shared" si="8"/>
        <v>-0.4581563017615207</v>
      </c>
      <c r="K15" s="51">
        <f t="shared" si="9"/>
        <v>0.1071071757762187</v>
      </c>
      <c r="L15" s="51">
        <f t="shared" si="10"/>
        <v>1.8230014348613293</v>
      </c>
      <c r="M15" s="51">
        <f t="shared" si="11"/>
        <v>0.0005640825710260617</v>
      </c>
      <c r="N15" s="51">
        <f t="shared" si="12"/>
        <v>0.06151902984267801</v>
      </c>
      <c r="O15" s="51">
        <f t="shared" si="13"/>
        <v>0</v>
      </c>
      <c r="P15" s="51">
        <f t="shared" si="14"/>
        <v>0</v>
      </c>
      <c r="Q15" s="53">
        <f t="shared" si="15"/>
        <v>0.4272678533619223</v>
      </c>
      <c r="R15" s="54">
        <f t="shared" si="16"/>
        <v>6</v>
      </c>
      <c r="S15" s="55">
        <f t="shared" si="17"/>
        <v>5.872721864342985</v>
      </c>
      <c r="T15" s="51">
        <f t="shared" si="18"/>
        <v>4.575724044716887</v>
      </c>
      <c r="U15" s="51">
        <f t="shared" si="19"/>
        <v>3.2969978196260974</v>
      </c>
      <c r="V15" s="56">
        <f t="shared" si="20"/>
        <v>0.12727813565701496</v>
      </c>
      <c r="W15" s="57">
        <f t="shared" si="21"/>
        <v>-16.00299189807881</v>
      </c>
      <c r="X15" s="58">
        <f aca="true" t="shared" si="25" ref="X15:X33">(V16-V14)/2</f>
        <v>-0.02746464871011689</v>
      </c>
      <c r="Y15" s="51">
        <f t="shared" si="22"/>
        <v>1.0993211590790997</v>
      </c>
      <c r="Z15" s="51">
        <f t="shared" si="23"/>
        <v>1.0993211590790997</v>
      </c>
      <c r="AA15" s="49"/>
      <c r="AB15" s="49"/>
      <c r="AC15" s="49"/>
      <c r="AD15" s="49"/>
      <c r="AE15" s="49"/>
    </row>
    <row r="16" spans="1:31" s="59" customFormat="1" ht="15" customHeight="1">
      <c r="A16" s="48">
        <f t="shared" si="24"/>
        <v>5.02</v>
      </c>
      <c r="B16" s="51">
        <f t="shared" si="0"/>
        <v>-5.35147669302665</v>
      </c>
      <c r="C16" s="69">
        <f t="shared" si="1"/>
        <v>0.26039999999999996</v>
      </c>
      <c r="D16" s="50">
        <f t="shared" si="2"/>
        <v>1738.163870691774</v>
      </c>
      <c r="E16" s="50">
        <f t="shared" si="3"/>
        <v>19920.3187250996</v>
      </c>
      <c r="F16" s="51">
        <f t="shared" si="4"/>
        <v>0.4823003873016869</v>
      </c>
      <c r="G16" s="48">
        <f t="shared" si="5"/>
        <v>0.5959141411238343</v>
      </c>
      <c r="H16" s="52">
        <f t="shared" si="6"/>
        <v>0.987067690881011</v>
      </c>
      <c r="I16" s="51">
        <f t="shared" si="7"/>
        <v>2.5808652104748053</v>
      </c>
      <c r="J16" s="49">
        <f t="shared" si="8"/>
        <v>-0.45907078539777124</v>
      </c>
      <c r="K16" s="51">
        <f t="shared" si="9"/>
        <v>0.10749166496629758</v>
      </c>
      <c r="L16" s="51">
        <f t="shared" si="10"/>
        <v>1.84364114274269</v>
      </c>
      <c r="M16" s="51">
        <f t="shared" si="11"/>
        <v>0.0005638396151605626</v>
      </c>
      <c r="N16" s="51">
        <f t="shared" si="12"/>
        <v>0.061492154257791094</v>
      </c>
      <c r="O16" s="51">
        <f t="shared" si="13"/>
        <v>0</v>
      </c>
      <c r="P16" s="51">
        <f t="shared" si="14"/>
        <v>0</v>
      </c>
      <c r="Q16" s="53">
        <f t="shared" si="15"/>
        <v>0.4272678533619223</v>
      </c>
      <c r="R16" s="54">
        <f t="shared" si="16"/>
        <v>6</v>
      </c>
      <c r="S16" s="55">
        <f t="shared" si="17"/>
        <v>5.900334051718219</v>
      </c>
      <c r="T16" s="51">
        <f t="shared" si="18"/>
        <v>4.580865210474805</v>
      </c>
      <c r="U16" s="51">
        <f t="shared" si="19"/>
        <v>3.3194688412434137</v>
      </c>
      <c r="V16" s="56">
        <f t="shared" si="20"/>
        <v>0.09966594828178099</v>
      </c>
      <c r="W16" s="57">
        <f t="shared" si="21"/>
        <v>-16.008133063836727</v>
      </c>
      <c r="X16" s="58">
        <f t="shared" si="25"/>
        <v>-0.027763070488012076</v>
      </c>
      <c r="Y16" s="51">
        <f t="shared" si="22"/>
        <v>1.0993211590790997</v>
      </c>
      <c r="Z16" s="51">
        <f t="shared" si="23"/>
        <v>1.0993211590790997</v>
      </c>
      <c r="AA16" s="49"/>
      <c r="AB16" s="49"/>
      <c r="AC16" s="49"/>
      <c r="AD16" s="49"/>
      <c r="AE16" s="49"/>
    </row>
    <row r="17" spans="1:26" s="59" customFormat="1" ht="15" customHeight="1">
      <c r="A17" s="48">
        <f t="shared" si="24"/>
        <v>5.029999999999999</v>
      </c>
      <c r="B17" s="51">
        <f t="shared" si="0"/>
        <v>-5.35147669302665</v>
      </c>
      <c r="C17" s="69">
        <f t="shared" si="1"/>
        <v>0.26039999999999996</v>
      </c>
      <c r="D17" s="50">
        <f t="shared" si="2"/>
        <v>1734.7082765154482</v>
      </c>
      <c r="E17" s="50">
        <f t="shared" si="3"/>
        <v>19880.71570576541</v>
      </c>
      <c r="F17" s="51">
        <f t="shared" si="4"/>
        <v>0.48261797458631195</v>
      </c>
      <c r="G17" s="48">
        <f t="shared" si="5"/>
        <v>0.596171208122125</v>
      </c>
      <c r="H17" s="52">
        <f t="shared" si="6"/>
        <v>0.9889302984823596</v>
      </c>
      <c r="I17" s="51">
        <f t="shared" si="7"/>
        <v>2.586006376232723</v>
      </c>
      <c r="J17" s="49">
        <f t="shared" si="8"/>
        <v>-0.45998526903402176</v>
      </c>
      <c r="K17" s="51">
        <f t="shared" si="9"/>
        <v>0.10787659749989685</v>
      </c>
      <c r="L17" s="51">
        <f t="shared" si="10"/>
        <v>1.864578217025883</v>
      </c>
      <c r="M17" s="51">
        <f t="shared" si="11"/>
        <v>0.0005635964894352475</v>
      </c>
      <c r="N17" s="51">
        <f t="shared" si="12"/>
        <v>0.06146526021612122</v>
      </c>
      <c r="O17" s="51">
        <f t="shared" si="13"/>
        <v>0</v>
      </c>
      <c r="P17" s="51">
        <f t="shared" si="14"/>
        <v>0</v>
      </c>
      <c r="Q17" s="53">
        <f t="shared" si="15"/>
        <v>0.4272678533619223</v>
      </c>
      <c r="R17" s="54">
        <f t="shared" si="16"/>
        <v>6</v>
      </c>
      <c r="S17" s="55">
        <f t="shared" si="17"/>
        <v>5.928248005319009</v>
      </c>
      <c r="T17" s="51">
        <f t="shared" si="18"/>
        <v>4.586006376232723</v>
      </c>
      <c r="U17" s="51">
        <f t="shared" si="19"/>
        <v>3.342241629086286</v>
      </c>
      <c r="V17" s="56">
        <f t="shared" si="20"/>
        <v>0.0717519946809908</v>
      </c>
      <c r="W17" s="57">
        <f t="shared" si="21"/>
        <v>-16.013274229594646</v>
      </c>
      <c r="X17" s="58">
        <f t="shared" si="25"/>
        <v>-0.028068299369040872</v>
      </c>
      <c r="Y17" s="51">
        <f t="shared" si="22"/>
        <v>1.0993211590790997</v>
      </c>
      <c r="Z17" s="51">
        <f t="shared" si="23"/>
        <v>1.0993211590790997</v>
      </c>
    </row>
    <row r="18" spans="1:26" s="59" customFormat="1" ht="15" customHeight="1">
      <c r="A18" s="48">
        <f t="shared" si="24"/>
        <v>5.039999999999999</v>
      </c>
      <c r="B18" s="51">
        <f t="shared" si="0"/>
        <v>-5.35147669302665</v>
      </c>
      <c r="C18" s="69">
        <f t="shared" si="1"/>
        <v>0.26039999999999996</v>
      </c>
      <c r="D18" s="50">
        <f t="shared" si="2"/>
        <v>1731.2663950144258</v>
      </c>
      <c r="E18" s="50">
        <f t="shared" si="3"/>
        <v>19841.269841269845</v>
      </c>
      <c r="F18" s="51">
        <f t="shared" si="4"/>
        <v>0.4829359844105882</v>
      </c>
      <c r="G18" s="48">
        <f t="shared" si="5"/>
        <v>0.5964286755670152</v>
      </c>
      <c r="H18" s="52">
        <f t="shared" si="6"/>
        <v>0.9907973265744151</v>
      </c>
      <c r="I18" s="51">
        <f t="shared" si="7"/>
        <v>2.591147541990641</v>
      </c>
      <c r="J18" s="49">
        <f t="shared" si="8"/>
        <v>-0.4608997526702723</v>
      </c>
      <c r="K18" s="51">
        <f t="shared" si="9"/>
        <v>0.10826197171745565</v>
      </c>
      <c r="L18" s="51">
        <f t="shared" si="10"/>
        <v>1.885819580678259</v>
      </c>
      <c r="M18" s="51">
        <f t="shared" si="11"/>
        <v>0.0005633531950498023</v>
      </c>
      <c r="N18" s="51">
        <f t="shared" si="12"/>
        <v>0.061438347851063446</v>
      </c>
      <c r="O18" s="51">
        <f t="shared" si="13"/>
        <v>0</v>
      </c>
      <c r="P18" s="51">
        <f t="shared" si="14"/>
        <v>0</v>
      </c>
      <c r="Q18" s="53">
        <f t="shared" si="15"/>
        <v>0.4272678533619223</v>
      </c>
      <c r="R18" s="54">
        <f t="shared" si="16"/>
        <v>6</v>
      </c>
      <c r="S18" s="55">
        <f t="shared" si="17"/>
        <v>5.956470650456301</v>
      </c>
      <c r="T18" s="51">
        <f t="shared" si="18"/>
        <v>4.591147541990641</v>
      </c>
      <c r="U18" s="51">
        <f t="shared" si="19"/>
        <v>3.3653231084656596</v>
      </c>
      <c r="V18" s="56">
        <f t="shared" si="20"/>
        <v>0.04352934954369925</v>
      </c>
      <c r="W18" s="57">
        <f t="shared" si="21"/>
        <v>-16.018415395352562</v>
      </c>
      <c r="X18" s="58">
        <f t="shared" si="25"/>
        <v>-0.028380577423475994</v>
      </c>
      <c r="Y18" s="51">
        <f t="shared" si="22"/>
        <v>1.0993211590790997</v>
      </c>
      <c r="Z18" s="51">
        <f t="shared" si="23"/>
        <v>1.0993211590790997</v>
      </c>
    </row>
    <row r="19" spans="1:26" s="47" customFormat="1" ht="15" customHeight="1">
      <c r="A19" s="37">
        <f t="shared" si="24"/>
        <v>5.049999999999999</v>
      </c>
      <c r="B19" s="40">
        <f t="shared" si="0"/>
        <v>-5.35147669302665</v>
      </c>
      <c r="C19" s="68">
        <f t="shared" si="1"/>
        <v>0.26039999999999996</v>
      </c>
      <c r="D19" s="39">
        <f t="shared" si="2"/>
        <v>1727.8381447272684</v>
      </c>
      <c r="E19" s="39">
        <f t="shared" si="3"/>
        <v>19801.980198019806</v>
      </c>
      <c r="F19" s="40">
        <f t="shared" si="4"/>
        <v>0.48325441594034774</v>
      </c>
      <c r="G19" s="37">
        <f t="shared" si="5"/>
        <v>0.5966865429401326</v>
      </c>
      <c r="H19" s="41">
        <f t="shared" si="6"/>
        <v>0.9926687773571727</v>
      </c>
      <c r="I19" s="40">
        <f t="shared" si="7"/>
        <v>2.596288707748559</v>
      </c>
      <c r="J19" s="38">
        <f t="shared" si="8"/>
        <v>-0.4618142363065228</v>
      </c>
      <c r="K19" s="40">
        <f t="shared" si="9"/>
        <v>0.10864778595859362</v>
      </c>
      <c r="L19" s="40">
        <f t="shared" si="10"/>
        <v>1.9073724044025613</v>
      </c>
      <c r="M19" s="40">
        <f t="shared" si="11"/>
        <v>0.0005631097332015948</v>
      </c>
      <c r="N19" s="40">
        <f t="shared" si="12"/>
        <v>0.06141141729574685</v>
      </c>
      <c r="O19" s="40">
        <f t="shared" si="13"/>
        <v>0</v>
      </c>
      <c r="P19" s="40">
        <f t="shared" si="14"/>
        <v>0</v>
      </c>
      <c r="Q19" s="42">
        <f t="shared" si="15"/>
        <v>0.4272678533619223</v>
      </c>
      <c r="R19" s="43">
        <f t="shared" si="16"/>
        <v>6</v>
      </c>
      <c r="S19" s="44">
        <f t="shared" si="17"/>
        <v>5.985009160165961</v>
      </c>
      <c r="T19" s="40">
        <f t="shared" si="18"/>
        <v>4.596288707748559</v>
      </c>
      <c r="U19" s="40">
        <f t="shared" si="19"/>
        <v>3.3887204524174024</v>
      </c>
      <c r="V19" s="45">
        <f t="shared" si="20"/>
        <v>0.014990839834038816</v>
      </c>
      <c r="W19" s="46">
        <f t="shared" si="21"/>
        <v>-16.02355656111048</v>
      </c>
      <c r="X19" s="60">
        <f t="shared" si="25"/>
        <v>-0.028700158372924278</v>
      </c>
      <c r="Y19" s="40">
        <f t="shared" si="22"/>
        <v>1.0993211590790997</v>
      </c>
      <c r="Z19" s="40">
        <f t="shared" si="23"/>
        <v>1.0993211590790997</v>
      </c>
    </row>
    <row r="20" spans="1:26" s="59" customFormat="1" ht="15" customHeight="1">
      <c r="A20" s="48">
        <f t="shared" si="24"/>
        <v>5.059999999999999</v>
      </c>
      <c r="B20" s="51">
        <f t="shared" si="0"/>
        <v>-5.35147669302665</v>
      </c>
      <c r="C20" s="69">
        <f t="shared" si="1"/>
        <v>0.26039999999999996</v>
      </c>
      <c r="D20" s="50">
        <f t="shared" si="2"/>
        <v>1724.4234448365032</v>
      </c>
      <c r="E20" s="50">
        <f t="shared" si="3"/>
        <v>19762.845849802376</v>
      </c>
      <c r="F20" s="51">
        <f t="shared" si="4"/>
        <v>0.48357326834251524</v>
      </c>
      <c r="G20" s="48">
        <f t="shared" si="5"/>
        <v>0.5969448097231956</v>
      </c>
      <c r="H20" s="52">
        <f t="shared" si="6"/>
        <v>0.9945446530203903</v>
      </c>
      <c r="I20" s="51">
        <f t="shared" si="7"/>
        <v>2.6014298735064765</v>
      </c>
      <c r="J20" s="49">
        <f t="shared" si="8"/>
        <v>-0.4627287199427733</v>
      </c>
      <c r="K20" s="51">
        <f t="shared" si="9"/>
        <v>0.10903403856212227</v>
      </c>
      <c r="L20" s="51">
        <f t="shared" si="10"/>
        <v>1.9292441186303186</v>
      </c>
      <c r="M20" s="51">
        <f t="shared" si="11"/>
        <v>0.0005628661050856675</v>
      </c>
      <c r="N20" s="51">
        <f t="shared" si="12"/>
        <v>0.061384468683042086</v>
      </c>
      <c r="O20" s="51">
        <f t="shared" si="13"/>
        <v>0</v>
      </c>
      <c r="P20" s="51">
        <f t="shared" si="14"/>
        <v>0</v>
      </c>
      <c r="Q20" s="53">
        <f t="shared" si="15"/>
        <v>0.4272678533619223</v>
      </c>
      <c r="R20" s="54">
        <f t="shared" si="16"/>
        <v>6</v>
      </c>
      <c r="S20" s="55">
        <f t="shared" si="17"/>
        <v>6.013870967202149</v>
      </c>
      <c r="T20" s="51">
        <f t="shared" si="18"/>
        <v>4.6014298735064765</v>
      </c>
      <c r="U20" s="51">
        <f t="shared" si="19"/>
        <v>3.412441093695673</v>
      </c>
      <c r="V20" s="56">
        <f t="shared" si="20"/>
        <v>-0.013870967202149309</v>
      </c>
      <c r="W20" s="57">
        <f t="shared" si="21"/>
        <v>-16.028697726868398</v>
      </c>
      <c r="X20" s="58">
        <f t="shared" si="25"/>
        <v>-0.029027308299563348</v>
      </c>
      <c r="Y20" s="51">
        <f t="shared" si="22"/>
        <v>1.0993211590790997</v>
      </c>
      <c r="Z20" s="51">
        <f t="shared" si="23"/>
        <v>1.0993211590790997</v>
      </c>
    </row>
    <row r="21" spans="1:26" s="59" customFormat="1" ht="15" customHeight="1">
      <c r="A21" s="48">
        <f t="shared" si="24"/>
        <v>5.0699999999999985</v>
      </c>
      <c r="B21" s="51">
        <f t="shared" si="0"/>
        <v>-5.35147669302665</v>
      </c>
      <c r="C21" s="69">
        <f t="shared" si="1"/>
        <v>0.26039999999999996</v>
      </c>
      <c r="D21" s="50">
        <f t="shared" si="2"/>
        <v>1721.0222151622695</v>
      </c>
      <c r="E21" s="50">
        <f t="shared" si="3"/>
        <v>19723.865877712036</v>
      </c>
      <c r="F21" s="51">
        <f t="shared" si="4"/>
        <v>0.4838925407851115</v>
      </c>
      <c r="G21" s="48">
        <f t="shared" si="5"/>
        <v>0.5972034753980178</v>
      </c>
      <c r="H21" s="52">
        <f t="shared" si="6"/>
        <v>0.9964249557435749</v>
      </c>
      <c r="I21" s="51">
        <f t="shared" si="7"/>
        <v>2.6065710392643946</v>
      </c>
      <c r="J21" s="49">
        <f t="shared" si="8"/>
        <v>-0.46364320357902383</v>
      </c>
      <c r="K21" s="51">
        <f t="shared" si="9"/>
        <v>0.10942072786605722</v>
      </c>
      <c r="L21" s="51">
        <f t="shared" si="10"/>
        <v>1.9514424262496457</v>
      </c>
      <c r="M21" s="51">
        <f t="shared" si="11"/>
        <v>0.0005626223118947295</v>
      </c>
      <c r="N21" s="51">
        <f t="shared" si="12"/>
        <v>0.06135750214555099</v>
      </c>
      <c r="O21" s="51">
        <f t="shared" si="13"/>
        <v>0</v>
      </c>
      <c r="P21" s="51">
        <f t="shared" si="14"/>
        <v>0</v>
      </c>
      <c r="Q21" s="53">
        <f t="shared" si="15"/>
        <v>0.4272678533619223</v>
      </c>
      <c r="R21" s="54">
        <f t="shared" si="16"/>
        <v>6</v>
      </c>
      <c r="S21" s="55">
        <f t="shared" si="17"/>
        <v>6.043063776765088</v>
      </c>
      <c r="T21" s="51">
        <f t="shared" si="18"/>
        <v>4.606571039264395</v>
      </c>
      <c r="U21" s="51">
        <f t="shared" si="19"/>
        <v>3.4364927375006933</v>
      </c>
      <c r="V21" s="56">
        <f t="shared" si="20"/>
        <v>-0.04306377676508788</v>
      </c>
      <c r="W21" s="57">
        <f t="shared" si="21"/>
        <v>-16.033838892626317</v>
      </c>
      <c r="X21" s="58">
        <f t="shared" si="25"/>
        <v>-0.029362306407831884</v>
      </c>
      <c r="Y21" s="51">
        <f t="shared" si="22"/>
        <v>1.0993211590790997</v>
      </c>
      <c r="Z21" s="51">
        <f t="shared" si="23"/>
        <v>1.0993211590790997</v>
      </c>
    </row>
    <row r="22" spans="1:26" s="59" customFormat="1" ht="15" customHeight="1">
      <c r="A22" s="48">
        <f t="shared" si="24"/>
        <v>5.079999999999998</v>
      </c>
      <c r="B22" s="51">
        <f t="shared" si="0"/>
        <v>-5.35147669302665</v>
      </c>
      <c r="C22" s="69">
        <f t="shared" si="1"/>
        <v>0.26039999999999996</v>
      </c>
      <c r="D22" s="50">
        <f t="shared" si="2"/>
        <v>1717.6343761560447</v>
      </c>
      <c r="E22" s="50">
        <f t="shared" si="3"/>
        <v>19685.039370078746</v>
      </c>
      <c r="F22" s="51">
        <f t="shared" si="4"/>
        <v>0.4842122324372571</v>
      </c>
      <c r="G22" s="48">
        <f t="shared" si="5"/>
        <v>0.5974625394465098</v>
      </c>
      <c r="H22" s="52">
        <f t="shared" si="6"/>
        <v>0.9983096876959624</v>
      </c>
      <c r="I22" s="51">
        <f t="shared" si="7"/>
        <v>2.6117122050223123</v>
      </c>
      <c r="J22" s="49">
        <f t="shared" si="8"/>
        <v>-0.46455768721527435</v>
      </c>
      <c r="K22" s="51">
        <f t="shared" si="9"/>
        <v>0.10980785220762951</v>
      </c>
      <c r="L22" s="51">
        <f t="shared" si="10"/>
        <v>1.9739753161220026</v>
      </c>
      <c r="M22" s="51">
        <f t="shared" si="11"/>
        <v>0.0005623783548191505</v>
      </c>
      <c r="N22" s="51">
        <f t="shared" si="12"/>
        <v>0.06133051781561414</v>
      </c>
      <c r="O22" s="51">
        <f t="shared" si="13"/>
        <v>0</v>
      </c>
      <c r="P22" s="51">
        <f t="shared" si="14"/>
        <v>0</v>
      </c>
      <c r="Q22" s="53">
        <f t="shared" si="15"/>
        <v>0.4272678533619223</v>
      </c>
      <c r="R22" s="54">
        <f t="shared" si="16"/>
        <v>6</v>
      </c>
      <c r="S22" s="55">
        <f t="shared" si="17"/>
        <v>6.072595580017813</v>
      </c>
      <c r="T22" s="51">
        <f t="shared" si="18"/>
        <v>4.611712205022313</v>
      </c>
      <c r="U22" s="51">
        <f t="shared" si="19"/>
        <v>3.460883374995501</v>
      </c>
      <c r="V22" s="56">
        <f t="shared" si="20"/>
        <v>-0.07259558001781308</v>
      </c>
      <c r="W22" s="57">
        <f t="shared" si="21"/>
        <v>-16.038980058384237</v>
      </c>
      <c r="X22" s="58">
        <f t="shared" si="25"/>
        <v>-0.029705445843164924</v>
      </c>
      <c r="Y22" s="51">
        <f t="shared" si="22"/>
        <v>1.0993211590790997</v>
      </c>
      <c r="Z22" s="51">
        <f t="shared" si="23"/>
        <v>1.0993211590790997</v>
      </c>
    </row>
    <row r="23" spans="1:26" s="59" customFormat="1" ht="15" customHeight="1">
      <c r="A23" s="48">
        <f t="shared" si="24"/>
        <v>5.089999999999998</v>
      </c>
      <c r="B23" s="51">
        <f t="shared" si="0"/>
        <v>-5.35147669302665</v>
      </c>
      <c r="C23" s="69">
        <f t="shared" si="1"/>
        <v>0.26039999999999996</v>
      </c>
      <c r="D23" s="50">
        <f t="shared" si="2"/>
        <v>1714.2598488944413</v>
      </c>
      <c r="E23" s="50">
        <f t="shared" si="3"/>
        <v>19646.365422396862</v>
      </c>
      <c r="F23" s="51">
        <f t="shared" si="4"/>
        <v>0.4845323424691758</v>
      </c>
      <c r="G23" s="48">
        <f t="shared" si="5"/>
        <v>0.5977220013506837</v>
      </c>
      <c r="H23" s="52">
        <f t="shared" si="6"/>
        <v>1.0001988510364914</v>
      </c>
      <c r="I23" s="51">
        <f t="shared" si="7"/>
        <v>2.61685337078023</v>
      </c>
      <c r="J23" s="49">
        <f t="shared" si="8"/>
        <v>-0.46547217085152487</v>
      </c>
      <c r="K23" s="51">
        <f t="shared" si="9"/>
        <v>0.11019540992329796</v>
      </c>
      <c r="L23" s="51">
        <f t="shared" si="10"/>
        <v>1.9968510774474704</v>
      </c>
      <c r="M23" s="51">
        <f t="shared" si="11"/>
        <v>0.0005621342350469523</v>
      </c>
      <c r="N23" s="51">
        <f t="shared" si="12"/>
        <v>0.061303515825304196</v>
      </c>
      <c r="O23" s="51">
        <f t="shared" si="13"/>
        <v>0</v>
      </c>
      <c r="P23" s="51">
        <f t="shared" si="14"/>
        <v>0</v>
      </c>
      <c r="Q23" s="53">
        <f t="shared" si="15"/>
        <v>0.4272678533619223</v>
      </c>
      <c r="R23" s="54">
        <f t="shared" si="16"/>
        <v>6</v>
      </c>
      <c r="S23" s="55">
        <f t="shared" si="17"/>
        <v>6.102474668451418</v>
      </c>
      <c r="T23" s="51">
        <f t="shared" si="18"/>
        <v>4.61685337078023</v>
      </c>
      <c r="U23" s="51">
        <f t="shared" si="19"/>
        <v>3.485621297671188</v>
      </c>
      <c r="V23" s="56">
        <f t="shared" si="20"/>
        <v>-0.10247466845141773</v>
      </c>
      <c r="W23" s="57">
        <f t="shared" si="21"/>
        <v>-16.044121224142152</v>
      </c>
      <c r="X23" s="58">
        <f t="shared" si="25"/>
        <v>-0.030057034572787078</v>
      </c>
      <c r="Y23" s="51">
        <f t="shared" si="22"/>
        <v>1.0993211590790997</v>
      </c>
      <c r="Z23" s="51">
        <f t="shared" si="23"/>
        <v>1.0993211590790997</v>
      </c>
    </row>
    <row r="24" spans="1:26" s="47" customFormat="1" ht="15" customHeight="1">
      <c r="A24" s="37">
        <f t="shared" si="24"/>
        <v>5.099999999999998</v>
      </c>
      <c r="B24" s="40">
        <f t="shared" si="0"/>
        <v>-5.35147669302665</v>
      </c>
      <c r="C24" s="68">
        <f t="shared" si="1"/>
        <v>0.26039999999999996</v>
      </c>
      <c r="D24" s="39">
        <f t="shared" si="2"/>
        <v>1710.89855507308</v>
      </c>
      <c r="E24" s="39">
        <f t="shared" si="3"/>
        <v>19607.84313725491</v>
      </c>
      <c r="F24" s="40">
        <f t="shared" si="4"/>
        <v>0.48485287005219835</v>
      </c>
      <c r="G24" s="37">
        <f t="shared" si="5"/>
        <v>0.5979818605926553</v>
      </c>
      <c r="H24" s="41">
        <f t="shared" si="6"/>
        <v>1.0020924479137947</v>
      </c>
      <c r="I24" s="40">
        <f t="shared" si="7"/>
        <v>2.621994536538148</v>
      </c>
      <c r="J24" s="38">
        <f t="shared" si="8"/>
        <v>-0.4663866544877754</v>
      </c>
      <c r="K24" s="40">
        <f t="shared" si="9"/>
        <v>0.1105833993487603</v>
      </c>
      <c r="L24" s="40">
        <f t="shared" si="10"/>
        <v>2.0200783150430928</v>
      </c>
      <c r="M24" s="40">
        <f t="shared" si="11"/>
        <v>0.000561889953763803</v>
      </c>
      <c r="N24" s="40">
        <f t="shared" si="12"/>
        <v>0.06127649630642877</v>
      </c>
      <c r="O24" s="40">
        <f t="shared" si="13"/>
        <v>0</v>
      </c>
      <c r="P24" s="40">
        <f t="shared" si="14"/>
        <v>0</v>
      </c>
      <c r="Q24" s="42">
        <f t="shared" si="15"/>
        <v>0.4272678533619223</v>
      </c>
      <c r="R24" s="43">
        <f t="shared" si="16"/>
        <v>6</v>
      </c>
      <c r="S24" s="44">
        <f t="shared" si="17"/>
        <v>6.132709649163387</v>
      </c>
      <c r="T24" s="40">
        <f t="shared" si="18"/>
        <v>4.621994536538148</v>
      </c>
      <c r="U24" s="40">
        <f t="shared" si="19"/>
        <v>3.510715112625239</v>
      </c>
      <c r="V24" s="45">
        <f t="shared" si="20"/>
        <v>-0.13270964916338723</v>
      </c>
      <c r="W24" s="46">
        <f t="shared" si="21"/>
        <v>-16.049262389900072</v>
      </c>
      <c r="X24" s="60">
        <f t="shared" si="25"/>
        <v>-0.030417396334156077</v>
      </c>
      <c r="Y24" s="40">
        <f t="shared" si="22"/>
        <v>1.0993211590790997</v>
      </c>
      <c r="Z24" s="40">
        <f t="shared" si="23"/>
        <v>1.0993211590790997</v>
      </c>
    </row>
    <row r="25" spans="1:26" s="59" customFormat="1" ht="15" customHeight="1">
      <c r="A25" s="48">
        <f t="shared" si="24"/>
        <v>5.109999999999998</v>
      </c>
      <c r="B25" s="51">
        <f t="shared" si="0"/>
        <v>-5.35147669302665</v>
      </c>
      <c r="C25" s="69">
        <f t="shared" si="1"/>
        <v>0.26039999999999996</v>
      </c>
      <c r="D25" s="50">
        <f t="shared" si="2"/>
        <v>1707.5504170005302</v>
      </c>
      <c r="E25" s="50">
        <f t="shared" si="3"/>
        <v>19569.471624266153</v>
      </c>
      <c r="F25" s="51">
        <f t="shared" si="4"/>
        <v>0.4851738143587658</v>
      </c>
      <c r="G25" s="48">
        <f t="shared" si="5"/>
        <v>0.5982421166546485</v>
      </c>
      <c r="H25" s="52">
        <f t="shared" si="6"/>
        <v>1.0039904804661715</v>
      </c>
      <c r="I25" s="51">
        <f t="shared" si="7"/>
        <v>2.6271357022960657</v>
      </c>
      <c r="J25" s="49">
        <f t="shared" si="8"/>
        <v>-0.46730113812402596</v>
      </c>
      <c r="K25" s="51">
        <f t="shared" si="9"/>
        <v>0.11097181881896556</v>
      </c>
      <c r="L25" s="51">
        <f t="shared" si="10"/>
        <v>2.043665965605044</v>
      </c>
      <c r="M25" s="51">
        <f t="shared" si="11"/>
        <v>0.0005616455121530085</v>
      </c>
      <c r="N25" s="51">
        <f t="shared" si="12"/>
        <v>0.0612494593905266</v>
      </c>
      <c r="O25" s="51">
        <f t="shared" si="13"/>
        <v>0</v>
      </c>
      <c r="P25" s="51">
        <f t="shared" si="14"/>
        <v>0</v>
      </c>
      <c r="Q25" s="53">
        <f t="shared" si="15"/>
        <v>0.4272678533619223</v>
      </c>
      <c r="R25" s="54">
        <f t="shared" si="16"/>
        <v>6</v>
      </c>
      <c r="S25" s="55">
        <f t="shared" si="17"/>
        <v>6.16330946111973</v>
      </c>
      <c r="T25" s="51">
        <f t="shared" si="18"/>
        <v>4.627135702296066</v>
      </c>
      <c r="U25" s="51">
        <f t="shared" si="19"/>
        <v>3.536173758823664</v>
      </c>
      <c r="V25" s="56">
        <f t="shared" si="20"/>
        <v>-0.16330946111972988</v>
      </c>
      <c r="W25" s="57">
        <f t="shared" si="21"/>
        <v>-16.054403555657988</v>
      </c>
      <c r="X25" s="58">
        <f t="shared" si="25"/>
        <v>-0.030786871657186854</v>
      </c>
      <c r="Y25" s="51">
        <f t="shared" si="22"/>
        <v>1.0993211590790997</v>
      </c>
      <c r="Z25" s="51">
        <f t="shared" si="23"/>
        <v>1.0993211590790997</v>
      </c>
    </row>
    <row r="26" spans="1:26" s="59" customFormat="1" ht="15" customHeight="1">
      <c r="A26" s="48">
        <f t="shared" si="24"/>
        <v>5.119999999999997</v>
      </c>
      <c r="B26" s="51">
        <f t="shared" si="0"/>
        <v>-5.35147669302665</v>
      </c>
      <c r="C26" s="69">
        <f t="shared" si="1"/>
        <v>0.26039999999999996</v>
      </c>
      <c r="D26" s="50">
        <f t="shared" si="2"/>
        <v>1704.215357592326</v>
      </c>
      <c r="E26" s="50">
        <f t="shared" si="3"/>
        <v>19531.25000000001</v>
      </c>
      <c r="F26" s="51">
        <f t="shared" si="4"/>
        <v>0.4854951745624329</v>
      </c>
      <c r="G26" s="48">
        <f t="shared" si="5"/>
        <v>0.5985027690189972</v>
      </c>
      <c r="H26" s="52">
        <f t="shared" si="6"/>
        <v>1.0058929508215706</v>
      </c>
      <c r="I26" s="51">
        <f t="shared" si="7"/>
        <v>2.6322768680539834</v>
      </c>
      <c r="J26" s="49">
        <f t="shared" si="8"/>
        <v>-0.4682156217602765</v>
      </c>
      <c r="K26" s="51">
        <f t="shared" si="9"/>
        <v>0.11136066666812529</v>
      </c>
      <c r="L26" s="51">
        <f t="shared" si="10"/>
        <v>2.0676233150314163</v>
      </c>
      <c r="M26" s="51">
        <f t="shared" si="11"/>
        <v>0.0005614009113955076</v>
      </c>
      <c r="N26" s="51">
        <f t="shared" si="12"/>
        <v>0.06122240520886852</v>
      </c>
      <c r="O26" s="51">
        <f t="shared" si="13"/>
        <v>0</v>
      </c>
      <c r="P26" s="51">
        <f t="shared" si="14"/>
        <v>0</v>
      </c>
      <c r="Q26" s="53">
        <f t="shared" si="15"/>
        <v>0.4272678533619223</v>
      </c>
      <c r="R26" s="54">
        <f t="shared" si="16"/>
        <v>6</v>
      </c>
      <c r="S26" s="55">
        <f t="shared" si="17"/>
        <v>6.194283392477761</v>
      </c>
      <c r="T26" s="51">
        <f t="shared" si="18"/>
        <v>4.632276868053983</v>
      </c>
      <c r="U26" s="51">
        <f t="shared" si="19"/>
        <v>3.5620065244237775</v>
      </c>
      <c r="V26" s="56">
        <f t="shared" si="20"/>
        <v>-0.19428339247776094</v>
      </c>
      <c r="W26" s="57">
        <f t="shared" si="21"/>
        <v>-16.059544721415907</v>
      </c>
      <c r="X26" s="58">
        <f t="shared" si="25"/>
        <v>-0.03116581896703252</v>
      </c>
      <c r="Y26" s="51">
        <f t="shared" si="22"/>
        <v>1.0993211590790997</v>
      </c>
      <c r="Z26" s="51">
        <f t="shared" si="23"/>
        <v>1.0993211590790997</v>
      </c>
    </row>
    <row r="27" spans="1:26" s="59" customFormat="1" ht="15" customHeight="1">
      <c r="A27" s="48">
        <f t="shared" si="24"/>
        <v>5.129999999999997</v>
      </c>
      <c r="B27" s="51">
        <f t="shared" si="0"/>
        <v>-5.35147669302665</v>
      </c>
      <c r="C27" s="69">
        <f t="shared" si="1"/>
        <v>0.26039999999999996</v>
      </c>
      <c r="D27" s="50">
        <f t="shared" si="2"/>
        <v>1700.8933003650504</v>
      </c>
      <c r="E27" s="50">
        <f t="shared" si="3"/>
        <v>19493.177387914242</v>
      </c>
      <c r="F27" s="51">
        <f t="shared" si="4"/>
        <v>0.48581694983787177</v>
      </c>
      <c r="G27" s="48">
        <f t="shared" si="5"/>
        <v>0.5987638171681495</v>
      </c>
      <c r="H27" s="52">
        <f t="shared" si="6"/>
        <v>1.0077998610975794</v>
      </c>
      <c r="I27" s="51">
        <f t="shared" si="7"/>
        <v>2.6374180338119015</v>
      </c>
      <c r="J27" s="49">
        <f t="shared" si="8"/>
        <v>-0.469130105396527</v>
      </c>
      <c r="K27" s="51">
        <f t="shared" si="9"/>
        <v>0.11174994122972576</v>
      </c>
      <c r="L27" s="51">
        <f t="shared" si="10"/>
        <v>2.091960016889934</v>
      </c>
      <c r="M27" s="51">
        <f t="shared" si="11"/>
        <v>0.0005611561526698629</v>
      </c>
      <c r="N27" s="51">
        <f t="shared" si="12"/>
        <v>0.061195333892457425</v>
      </c>
      <c r="O27" s="51">
        <f t="shared" si="13"/>
        <v>0</v>
      </c>
      <c r="P27" s="51">
        <f t="shared" si="14"/>
        <v>0</v>
      </c>
      <c r="Q27" s="53">
        <f t="shared" si="15"/>
        <v>0.4272678533619223</v>
      </c>
      <c r="R27" s="54">
        <f t="shared" si="16"/>
        <v>6</v>
      </c>
      <c r="S27" s="55">
        <f t="shared" si="17"/>
        <v>6.225641099053795</v>
      </c>
      <c r="T27" s="51">
        <f t="shared" si="18"/>
        <v>4.637418033811901</v>
      </c>
      <c r="U27" s="51">
        <f t="shared" si="19"/>
        <v>3.5882230652418934</v>
      </c>
      <c r="V27" s="56">
        <f t="shared" si="20"/>
        <v>-0.22564109905379492</v>
      </c>
      <c r="W27" s="57">
        <f t="shared" si="21"/>
        <v>-16.064685887173823</v>
      </c>
      <c r="X27" s="58">
        <f t="shared" si="25"/>
        <v>-0.03155461577494112</v>
      </c>
      <c r="Y27" s="51">
        <f t="shared" si="22"/>
        <v>1.0993211590790997</v>
      </c>
      <c r="Z27" s="51">
        <f t="shared" si="23"/>
        <v>1.0993211590790997</v>
      </c>
    </row>
    <row r="28" spans="1:26" s="59" customFormat="1" ht="15" customHeight="1">
      <c r="A28" s="48">
        <f t="shared" si="24"/>
        <v>5.139999999999997</v>
      </c>
      <c r="B28" s="51">
        <f t="shared" si="0"/>
        <v>-5.35147669302665</v>
      </c>
      <c r="C28" s="69">
        <f t="shared" si="1"/>
        <v>0.26039999999999996</v>
      </c>
      <c r="D28" s="50">
        <f t="shared" si="2"/>
        <v>1697.5841694304884</v>
      </c>
      <c r="E28" s="50">
        <f t="shared" si="3"/>
        <v>19455.252918287948</v>
      </c>
      <c r="F28" s="51">
        <f t="shared" si="4"/>
        <v>0.48613913936087483</v>
      </c>
      <c r="G28" s="48">
        <f t="shared" si="5"/>
        <v>0.5990252605846702</v>
      </c>
      <c r="H28" s="52">
        <f t="shared" si="6"/>
        <v>1.009711213401395</v>
      </c>
      <c r="I28" s="51">
        <f t="shared" si="7"/>
        <v>2.642559199569819</v>
      </c>
      <c r="J28" s="49">
        <f t="shared" si="8"/>
        <v>-0.4700445890327775</v>
      </c>
      <c r="K28" s="51">
        <f t="shared" si="9"/>
        <v>0.11213964083653954</v>
      </c>
      <c r="L28" s="51">
        <f t="shared" si="10"/>
        <v>2.11668611212248</v>
      </c>
      <c r="M28" s="51">
        <f t="shared" si="11"/>
        <v>0.0005609112371522561</v>
      </c>
      <c r="N28" s="51">
        <f t="shared" si="12"/>
        <v>0.06116824557202736</v>
      </c>
      <c r="O28" s="51">
        <f t="shared" si="13"/>
        <v>0</v>
      </c>
      <c r="P28" s="51">
        <f t="shared" si="14"/>
        <v>0</v>
      </c>
      <c r="Q28" s="53">
        <f t="shared" si="15"/>
        <v>0.4272678533619223</v>
      </c>
      <c r="R28" s="54">
        <f t="shared" si="16"/>
        <v>6</v>
      </c>
      <c r="S28" s="55">
        <f t="shared" si="17"/>
        <v>6.257392624027643</v>
      </c>
      <c r="T28" s="51">
        <f t="shared" si="18"/>
        <v>4.642559199569819</v>
      </c>
      <c r="U28" s="51">
        <f t="shared" si="19"/>
        <v>3.614833424457824</v>
      </c>
      <c r="V28" s="56">
        <f t="shared" si="20"/>
        <v>-0.2573926240276432</v>
      </c>
      <c r="W28" s="57">
        <f t="shared" si="21"/>
        <v>-16.069827052931743</v>
      </c>
      <c r="X28" s="58">
        <f t="shared" si="25"/>
        <v>-0.03195365996548283</v>
      </c>
      <c r="Y28" s="51">
        <f t="shared" si="22"/>
        <v>1.0993211590790997</v>
      </c>
      <c r="Z28" s="51">
        <f t="shared" si="23"/>
        <v>1.0993211590790997</v>
      </c>
    </row>
    <row r="29" spans="1:26" s="47" customFormat="1" ht="15" customHeight="1">
      <c r="A29" s="37">
        <f t="shared" si="24"/>
        <v>5.149999999999997</v>
      </c>
      <c r="B29" s="40">
        <f t="shared" si="0"/>
        <v>-5.35147669302665</v>
      </c>
      <c r="C29" s="68">
        <f t="shared" si="1"/>
        <v>0.26039999999999996</v>
      </c>
      <c r="D29" s="39">
        <f t="shared" si="2"/>
        <v>1694.2878894898465</v>
      </c>
      <c r="E29" s="39">
        <f t="shared" si="3"/>
        <v>19417.47572815535</v>
      </c>
      <c r="F29" s="40">
        <f t="shared" si="4"/>
        <v>0.4864617423083587</v>
      </c>
      <c r="G29" s="37">
        <f t="shared" si="5"/>
        <v>0.5992870987512445</v>
      </c>
      <c r="H29" s="41">
        <f t="shared" si="6"/>
        <v>1.0116270098298172</v>
      </c>
      <c r="I29" s="40">
        <f t="shared" si="7"/>
        <v>2.647700365327737</v>
      </c>
      <c r="J29" s="38">
        <f t="shared" si="8"/>
        <v>-0.47095907266902803</v>
      </c>
      <c r="K29" s="40">
        <f t="shared" si="9"/>
        <v>0.11252976382063727</v>
      </c>
      <c r="L29" s="40">
        <f t="shared" si="10"/>
        <v>2.1418120500872435</v>
      </c>
      <c r="M29" s="40">
        <f t="shared" si="11"/>
        <v>0.0005606661660164801</v>
      </c>
      <c r="N29" s="40">
        <f t="shared" si="12"/>
        <v>0.061141140378040616</v>
      </c>
      <c r="O29" s="40">
        <f t="shared" si="13"/>
        <v>0</v>
      </c>
      <c r="P29" s="40">
        <f t="shared" si="14"/>
        <v>0</v>
      </c>
      <c r="Q29" s="42">
        <f t="shared" si="15"/>
        <v>0.4272678533619223</v>
      </c>
      <c r="R29" s="43">
        <f t="shared" si="16"/>
        <v>6</v>
      </c>
      <c r="S29" s="44">
        <f t="shared" si="17"/>
        <v>6.289548418984761</v>
      </c>
      <c r="T29" s="40">
        <f t="shared" si="18"/>
        <v>4.6477003653277364</v>
      </c>
      <c r="U29" s="40">
        <f t="shared" si="19"/>
        <v>3.6418480536570237</v>
      </c>
      <c r="V29" s="45">
        <f t="shared" si="20"/>
        <v>-0.2895484189847606</v>
      </c>
      <c r="W29" s="46">
        <f t="shared" si="21"/>
        <v>-16.07496821868966</v>
      </c>
      <c r="X29" s="60">
        <f t="shared" si="25"/>
        <v>-0.0323633711894038</v>
      </c>
      <c r="Y29" s="40">
        <f t="shared" si="22"/>
        <v>1.0993211590790997</v>
      </c>
      <c r="Z29" s="40">
        <f t="shared" si="23"/>
        <v>1.0993211590790997</v>
      </c>
    </row>
    <row r="30" spans="1:26" s="59" customFormat="1" ht="15" customHeight="1">
      <c r="A30" s="48">
        <f t="shared" si="24"/>
        <v>5.159999999999997</v>
      </c>
      <c r="B30" s="51">
        <f t="shared" si="0"/>
        <v>-5.35147669302665</v>
      </c>
      <c r="C30" s="69">
        <f t="shared" si="1"/>
        <v>0.26039999999999996</v>
      </c>
      <c r="D30" s="50">
        <f t="shared" si="2"/>
        <v>1691.0043858280446</v>
      </c>
      <c r="E30" s="50">
        <f t="shared" si="3"/>
        <v>19379.844961240324</v>
      </c>
      <c r="F30" s="51">
        <f t="shared" si="4"/>
        <v>0.48678475785836667</v>
      </c>
      <c r="G30" s="48">
        <f t="shared" si="5"/>
        <v>0.5995493311506808</v>
      </c>
      <c r="H30" s="52">
        <f t="shared" si="6"/>
        <v>1.0135472524692253</v>
      </c>
      <c r="I30" s="51">
        <f t="shared" si="7"/>
        <v>2.652841531085655</v>
      </c>
      <c r="J30" s="49">
        <f t="shared" si="8"/>
        <v>-0.47187355630527855</v>
      </c>
      <c r="K30" s="51">
        <f t="shared" si="9"/>
        <v>0.11292030851339942</v>
      </c>
      <c r="L30" s="51">
        <f t="shared" si="10"/>
        <v>2.16734871104896</v>
      </c>
      <c r="M30" s="51">
        <f t="shared" si="11"/>
        <v>0.0005604209404339329</v>
      </c>
      <c r="N30" s="51">
        <f t="shared" si="12"/>
        <v>0.06111401844068873</v>
      </c>
      <c r="O30" s="51">
        <f t="shared" si="13"/>
        <v>0</v>
      </c>
      <c r="P30" s="51">
        <f t="shared" si="14"/>
        <v>0</v>
      </c>
      <c r="Q30" s="53">
        <f t="shared" si="15"/>
        <v>0.4272678533619223</v>
      </c>
      <c r="R30" s="54">
        <f t="shared" si="16"/>
        <v>6</v>
      </c>
      <c r="S30" s="55">
        <f t="shared" si="17"/>
        <v>6.322119366406451</v>
      </c>
      <c r="T30" s="51">
        <f t="shared" si="18"/>
        <v>4.652841531085655</v>
      </c>
      <c r="U30" s="51">
        <f t="shared" si="19"/>
        <v>3.6692778353207958</v>
      </c>
      <c r="V30" s="56">
        <f t="shared" si="20"/>
        <v>-0.3221193664064508</v>
      </c>
      <c r="W30" s="57">
        <f t="shared" si="21"/>
        <v>-16.080109384447578</v>
      </c>
      <c r="X30" s="58">
        <f t="shared" si="25"/>
        <v>-0.032784192372340204</v>
      </c>
      <c r="Y30" s="51">
        <f t="shared" si="22"/>
        <v>1.0993211590790997</v>
      </c>
      <c r="Z30" s="51">
        <f t="shared" si="23"/>
        <v>1.0993211590790997</v>
      </c>
    </row>
    <row r="31" spans="1:26" s="59" customFormat="1" ht="15" customHeight="1">
      <c r="A31" s="48">
        <f t="shared" si="24"/>
        <v>5.169999999999996</v>
      </c>
      <c r="B31" s="51">
        <f t="shared" si="0"/>
        <v>-5.35147669302665</v>
      </c>
      <c r="C31" s="69">
        <f t="shared" si="1"/>
        <v>0.26039999999999996</v>
      </c>
      <c r="D31" s="50">
        <f t="shared" si="2"/>
        <v>1687.7335843080677</v>
      </c>
      <c r="E31" s="50">
        <f t="shared" si="3"/>
        <v>19342.359767891696</v>
      </c>
      <c r="F31" s="51">
        <f t="shared" si="4"/>
        <v>0.4871081851900729</v>
      </c>
      <c r="G31" s="48">
        <f t="shared" si="5"/>
        <v>0.5998119572659137</v>
      </c>
      <c r="H31" s="52">
        <f t="shared" si="6"/>
        <v>1.0154719433955635</v>
      </c>
      <c r="I31" s="51">
        <f t="shared" si="7"/>
        <v>2.6579826968435727</v>
      </c>
      <c r="J31" s="49">
        <f t="shared" si="8"/>
        <v>-0.47278803994152907</v>
      </c>
      <c r="K31" s="51">
        <f t="shared" si="9"/>
        <v>0.1133112732455281</v>
      </c>
      <c r="L31" s="51">
        <f t="shared" si="10"/>
        <v>2.1933074302384905</v>
      </c>
      <c r="M31" s="51">
        <f t="shared" si="11"/>
        <v>0.000560175561573611</v>
      </c>
      <c r="N31" s="51">
        <f t="shared" si="12"/>
        <v>0.06108687988989242</v>
      </c>
      <c r="O31" s="51">
        <f t="shared" si="13"/>
        <v>0</v>
      </c>
      <c r="P31" s="51">
        <f t="shared" si="14"/>
        <v>0</v>
      </c>
      <c r="Q31" s="53">
        <f t="shared" si="15"/>
        <v>0.4272678533619223</v>
      </c>
      <c r="R31" s="54">
        <f t="shared" si="16"/>
        <v>6</v>
      </c>
      <c r="S31" s="55">
        <f t="shared" si="17"/>
        <v>6.355116803729441</v>
      </c>
      <c r="T31" s="51">
        <f t="shared" si="18"/>
        <v>4.657982696843573</v>
      </c>
      <c r="U31" s="51">
        <f t="shared" si="19"/>
        <v>3.6971341068858683</v>
      </c>
      <c r="V31" s="56">
        <f t="shared" si="20"/>
        <v>-0.355116803729441</v>
      </c>
      <c r="W31" s="57">
        <f t="shared" si="21"/>
        <v>-16.085250550205494</v>
      </c>
      <c r="X31" s="58">
        <f t="shared" si="25"/>
        <v>-0.03321659135078381</v>
      </c>
      <c r="Y31" s="51">
        <f t="shared" si="22"/>
        <v>1.0993211590790997</v>
      </c>
      <c r="Z31" s="51">
        <f t="shared" si="23"/>
        <v>1.0993211590790997</v>
      </c>
    </row>
    <row r="32" spans="1:26" s="59" customFormat="1" ht="15" customHeight="1">
      <c r="A32" s="48">
        <f t="shared" si="24"/>
        <v>5.179999999999996</v>
      </c>
      <c r="B32" s="51">
        <f t="shared" si="0"/>
        <v>-5.35147669302665</v>
      </c>
      <c r="C32" s="69">
        <f t="shared" si="1"/>
        <v>0.26039999999999996</v>
      </c>
      <c r="D32" s="50">
        <f t="shared" si="2"/>
        <v>1684.4754113653883</v>
      </c>
      <c r="E32" s="50">
        <f t="shared" si="3"/>
        <v>19305.01930501932</v>
      </c>
      <c r="F32" s="51">
        <f t="shared" si="4"/>
        <v>0.4874320234837847</v>
      </c>
      <c r="G32" s="48">
        <f t="shared" si="5"/>
        <v>0.6000749765800077</v>
      </c>
      <c r="H32" s="52">
        <f t="shared" si="6"/>
        <v>1.0174010846743256</v>
      </c>
      <c r="I32" s="51">
        <f t="shared" si="7"/>
        <v>2.6631238626014904</v>
      </c>
      <c r="J32" s="49">
        <f t="shared" si="8"/>
        <v>-0.4737025235777796</v>
      </c>
      <c r="K32" s="51">
        <f t="shared" si="9"/>
        <v>0.11370265634705862</v>
      </c>
      <c r="L32" s="51">
        <f t="shared" si="10"/>
        <v>2.219700023614983</v>
      </c>
      <c r="M32" s="51">
        <f t="shared" si="11"/>
        <v>0.000559930030602103</v>
      </c>
      <c r="N32" s="51">
        <f t="shared" si="12"/>
        <v>0.06105972485529784</v>
      </c>
      <c r="O32" s="51">
        <f t="shared" si="13"/>
        <v>0</v>
      </c>
      <c r="P32" s="51">
        <f t="shared" si="14"/>
        <v>0</v>
      </c>
      <c r="Q32" s="53">
        <f t="shared" si="15"/>
        <v>0.4272678533619223</v>
      </c>
      <c r="R32" s="54">
        <f t="shared" si="16"/>
        <v>6</v>
      </c>
      <c r="S32" s="55">
        <f t="shared" si="17"/>
        <v>6.388552549108018</v>
      </c>
      <c r="T32" s="51">
        <f t="shared" si="18"/>
        <v>4.66312386260149</v>
      </c>
      <c r="U32" s="51">
        <f t="shared" si="19"/>
        <v>3.725428686506528</v>
      </c>
      <c r="V32" s="56">
        <f t="shared" si="20"/>
        <v>-0.3885525491080184</v>
      </c>
      <c r="W32" s="57">
        <f t="shared" si="21"/>
        <v>-16.090391715963413</v>
      </c>
      <c r="X32" s="58">
        <f t="shared" si="25"/>
        <v>-0.03366106264803692</v>
      </c>
      <c r="Y32" s="51">
        <f t="shared" si="22"/>
        <v>1.0993211590790997</v>
      </c>
      <c r="Z32" s="51">
        <f t="shared" si="23"/>
        <v>1.0993211590790997</v>
      </c>
    </row>
    <row r="33" spans="1:26" s="59" customFormat="1" ht="15" customHeight="1">
      <c r="A33" s="48">
        <f t="shared" si="24"/>
        <v>5.189999999999996</v>
      </c>
      <c r="B33" s="51">
        <f t="shared" si="0"/>
        <v>-5.35147669302665</v>
      </c>
      <c r="C33" s="69">
        <f t="shared" si="1"/>
        <v>0.26039999999999996</v>
      </c>
      <c r="D33" s="50">
        <f t="shared" si="2"/>
        <v>1681.2297940024491</v>
      </c>
      <c r="E33" s="50">
        <f t="shared" si="3"/>
        <v>19267.822736030845</v>
      </c>
      <c r="F33" s="51">
        <f t="shared" si="4"/>
        <v>0.48775627192094656</v>
      </c>
      <c r="G33" s="48">
        <f t="shared" si="5"/>
        <v>0.6003383885761598</v>
      </c>
      <c r="H33" s="52">
        <f t="shared" si="6"/>
        <v>1.0193346783605373</v>
      </c>
      <c r="I33" s="51">
        <f t="shared" si="7"/>
        <v>2.6682650283594085</v>
      </c>
      <c r="J33" s="49">
        <f t="shared" si="8"/>
        <v>-0.4746170072140301</v>
      </c>
      <c r="K33" s="51">
        <f t="shared" si="9"/>
        <v>0.11409445614737156</v>
      </c>
      <c r="L33" s="51">
        <f t="shared" si="10"/>
        <v>2.2465388154773644</v>
      </c>
      <c r="M33" s="51">
        <f t="shared" si="11"/>
        <v>0.0005596843486835834</v>
      </c>
      <c r="N33" s="51">
        <f t="shared" si="12"/>
        <v>0.06103255346628224</v>
      </c>
      <c r="O33" s="51">
        <f t="shared" si="13"/>
        <v>0</v>
      </c>
      <c r="P33" s="51">
        <f t="shared" si="14"/>
        <v>0</v>
      </c>
      <c r="Q33" s="53">
        <f t="shared" si="15"/>
        <v>0.4272678533619223</v>
      </c>
      <c r="R33" s="54">
        <f t="shared" si="16"/>
        <v>6</v>
      </c>
      <c r="S33" s="55">
        <f t="shared" si="17"/>
        <v>6.422438929025515</v>
      </c>
      <c r="T33" s="51">
        <f t="shared" si="18"/>
        <v>4.668265028359409</v>
      </c>
      <c r="U33" s="51">
        <f t="shared" si="19"/>
        <v>3.7541739006661063</v>
      </c>
      <c r="V33" s="56">
        <f t="shared" si="20"/>
        <v>-0.42243892902551483</v>
      </c>
      <c r="W33" s="57">
        <f t="shared" si="21"/>
        <v>-16.095532881721333</v>
      </c>
      <c r="X33" s="58">
        <f t="shared" si="25"/>
        <v>-0.03411812940429382</v>
      </c>
      <c r="Y33" s="51">
        <f t="shared" si="22"/>
        <v>1.0993211590790997</v>
      </c>
      <c r="Z33" s="51">
        <f t="shared" si="23"/>
        <v>1.0993211590790997</v>
      </c>
    </row>
    <row r="34" spans="1:26" s="47" customFormat="1" ht="15" customHeight="1">
      <c r="A34" s="37">
        <f t="shared" si="24"/>
        <v>5.199999999999996</v>
      </c>
      <c r="B34" s="40">
        <f t="shared" si="0"/>
        <v>-5.35147669302665</v>
      </c>
      <c r="C34" s="68">
        <f t="shared" si="1"/>
        <v>0.26039999999999996</v>
      </c>
      <c r="D34" s="39">
        <f t="shared" si="2"/>
        <v>1677.9966597832135</v>
      </c>
      <c r="E34" s="39">
        <f t="shared" si="3"/>
        <v>19230.769230769245</v>
      </c>
      <c r="F34" s="40">
        <f t="shared" si="4"/>
        <v>0.48808092968414235</v>
      </c>
      <c r="G34" s="37">
        <f t="shared" si="5"/>
        <v>0.6006021927377028</v>
      </c>
      <c r="H34" s="41">
        <f t="shared" si="6"/>
        <v>1.021272726498744</v>
      </c>
      <c r="I34" s="40">
        <f t="shared" si="7"/>
        <v>2.673406194117326</v>
      </c>
      <c r="J34" s="38">
        <f t="shared" si="8"/>
        <v>-0.4755314908502806</v>
      </c>
      <c r="K34" s="40">
        <f t="shared" si="9"/>
        <v>0.11448667097520418</v>
      </c>
      <c r="L34" s="40">
        <f t="shared" si="10"/>
        <v>2.27383666808667</v>
      </c>
      <c r="M34" s="40">
        <f t="shared" si="11"/>
        <v>0.000559438516979806</v>
      </c>
      <c r="N34" s="40">
        <f t="shared" si="12"/>
        <v>0.061005365851944465</v>
      </c>
      <c r="O34" s="40">
        <f t="shared" si="13"/>
        <v>0</v>
      </c>
      <c r="P34" s="40">
        <f t="shared" si="14"/>
        <v>0</v>
      </c>
      <c r="Q34" s="42">
        <f t="shared" si="15"/>
        <v>0.4272678533619223</v>
      </c>
      <c r="R34" s="43">
        <f t="shared" si="16"/>
        <v>6</v>
      </c>
      <c r="S34" s="44">
        <f t="shared" si="17"/>
        <v>6.456788807916606</v>
      </c>
      <c r="T34" s="40">
        <f t="shared" si="18"/>
        <v>4.673406194117327</v>
      </c>
      <c r="U34" s="40">
        <f t="shared" si="19"/>
        <v>3.78338261379928</v>
      </c>
      <c r="V34" s="45">
        <f t="shared" si="20"/>
        <v>-0.45678880791660603</v>
      </c>
      <c r="W34" s="46">
        <f t="shared" si="21"/>
        <v>-16.10067404747925</v>
      </c>
      <c r="X34" s="61"/>
      <c r="Y34" s="40">
        <f t="shared" si="22"/>
        <v>1.0993211590790997</v>
      </c>
      <c r="Z34" s="40">
        <f t="shared" si="23"/>
        <v>1.0993211590790997</v>
      </c>
    </row>
    <row r="35" spans="1:23" ht="15" customHeight="1">
      <c r="A35" s="3"/>
      <c r="B35" s="2"/>
      <c r="C35" s="2"/>
      <c r="D35" s="11"/>
      <c r="E35" s="2"/>
      <c r="F35" s="2"/>
      <c r="G35" s="3"/>
      <c r="H35" s="5"/>
      <c r="I35" s="5"/>
      <c r="J35" s="5"/>
      <c r="K35" s="5"/>
      <c r="L35" s="2"/>
      <c r="M35" s="5"/>
      <c r="N35" s="5"/>
      <c r="O35" s="5"/>
      <c r="P35" s="5"/>
      <c r="Q35" s="7"/>
      <c r="R35" s="8"/>
      <c r="S35" s="31"/>
      <c r="U35" s="31"/>
      <c r="V35" s="31"/>
      <c r="W35" s="32"/>
    </row>
    <row r="36" spans="1:21" ht="15" customHeight="1">
      <c r="A36" s="3"/>
      <c r="B36" s="2"/>
      <c r="C36" s="2"/>
      <c r="D36" s="11"/>
      <c r="E36" s="2"/>
      <c r="F36" s="2"/>
      <c r="G36" s="3"/>
      <c r="H36" s="5"/>
      <c r="I36" s="5"/>
      <c r="J36" s="5"/>
      <c r="K36" s="5"/>
      <c r="L36" s="2"/>
      <c r="M36" s="5"/>
      <c r="N36" s="5"/>
      <c r="O36" s="5"/>
      <c r="P36" s="5"/>
      <c r="Q36" s="7"/>
      <c r="R36" s="8"/>
      <c r="S36" s="5"/>
      <c r="U36" s="5"/>
    </row>
    <row r="37" spans="1:21" ht="15" customHeight="1">
      <c r="A37" s="3"/>
      <c r="B37" s="2"/>
      <c r="C37" s="2"/>
      <c r="D37" s="11"/>
      <c r="E37" s="2"/>
      <c r="F37" s="2"/>
      <c r="G37" s="3"/>
      <c r="H37" s="5"/>
      <c r="I37" s="5"/>
      <c r="J37" s="5"/>
      <c r="K37" s="5"/>
      <c r="L37" s="2"/>
      <c r="M37" s="5"/>
      <c r="N37" s="5"/>
      <c r="O37" s="5"/>
      <c r="P37" s="5"/>
      <c r="Q37" s="7"/>
      <c r="R37" s="8"/>
      <c r="S37" s="5"/>
      <c r="U37" s="5"/>
    </row>
    <row r="38" spans="1:21" ht="15" customHeight="1">
      <c r="A38" s="3"/>
      <c r="B38" s="2"/>
      <c r="C38" s="2"/>
      <c r="D38" s="11"/>
      <c r="E38" s="2"/>
      <c r="F38" s="2"/>
      <c r="G38" s="3"/>
      <c r="H38" s="5"/>
      <c r="I38" s="5"/>
      <c r="J38" s="5"/>
      <c r="K38" s="5"/>
      <c r="L38" s="2"/>
      <c r="M38" s="5"/>
      <c r="N38" s="5"/>
      <c r="O38" s="5"/>
      <c r="P38" s="5"/>
      <c r="Q38" s="7"/>
      <c r="R38" s="8"/>
      <c r="S38" s="5"/>
      <c r="U38" s="5"/>
    </row>
    <row r="39" spans="1:21" ht="15" customHeight="1">
      <c r="A39" s="3"/>
      <c r="B39" s="2"/>
      <c r="C39" s="2"/>
      <c r="D39" s="11"/>
      <c r="E39" s="2"/>
      <c r="F39" s="2"/>
      <c r="G39" s="3"/>
      <c r="H39" s="5"/>
      <c r="I39" s="5"/>
      <c r="J39" s="5"/>
      <c r="K39" s="5"/>
      <c r="L39" s="2"/>
      <c r="M39" s="5"/>
      <c r="N39" s="5"/>
      <c r="O39" s="5"/>
      <c r="P39" s="5"/>
      <c r="Q39" s="7"/>
      <c r="R39" s="8"/>
      <c r="S39" s="5"/>
      <c r="U39" s="5"/>
    </row>
    <row r="40" spans="1:21" ht="15" customHeight="1">
      <c r="A40" s="3"/>
      <c r="B40" s="2"/>
      <c r="C40" s="2"/>
      <c r="D40" s="11"/>
      <c r="E40" s="2"/>
      <c r="F40" s="2"/>
      <c r="G40" s="3"/>
      <c r="H40" s="5"/>
      <c r="I40" s="5"/>
      <c r="J40" s="5"/>
      <c r="K40" s="5"/>
      <c r="L40" s="2"/>
      <c r="M40" s="5"/>
      <c r="N40" s="5"/>
      <c r="O40" s="5"/>
      <c r="P40" s="5"/>
      <c r="Q40" s="7"/>
      <c r="R40" s="8"/>
      <c r="S40" s="5"/>
      <c r="U40" s="5"/>
    </row>
    <row r="41" spans="1:21" ht="15" customHeight="1">
      <c r="A41" s="3"/>
      <c r="B41" s="2"/>
      <c r="C41" s="2"/>
      <c r="D41" s="11"/>
      <c r="E41" s="2"/>
      <c r="F41" s="2"/>
      <c r="G41" s="3"/>
      <c r="H41" s="5"/>
      <c r="I41" s="5"/>
      <c r="J41" s="5"/>
      <c r="K41" s="5"/>
      <c r="L41" s="2"/>
      <c r="M41" s="5"/>
      <c r="N41" s="5"/>
      <c r="O41" s="5"/>
      <c r="P41" s="5"/>
      <c r="Q41" s="7"/>
      <c r="R41" s="8"/>
      <c r="S41" s="5"/>
      <c r="U41" s="5"/>
    </row>
    <row r="42" spans="1:21" ht="15" customHeight="1">
      <c r="A42" s="3"/>
      <c r="B42" s="2"/>
      <c r="C42" s="2"/>
      <c r="D42" s="11"/>
      <c r="E42" s="2"/>
      <c r="F42" s="2"/>
      <c r="G42" s="3"/>
      <c r="H42" s="5"/>
      <c r="I42" s="5"/>
      <c r="J42" s="5"/>
      <c r="K42" s="5"/>
      <c r="L42" s="2"/>
      <c r="M42" s="5"/>
      <c r="N42" s="5"/>
      <c r="O42" s="5"/>
      <c r="P42" s="5"/>
      <c r="Q42" s="7"/>
      <c r="R42" s="8"/>
      <c r="S42" s="5"/>
      <c r="U42" s="5"/>
    </row>
    <row r="43" spans="1:21" ht="15" customHeight="1">
      <c r="A43" s="3"/>
      <c r="B43" s="2"/>
      <c r="C43" s="2"/>
      <c r="D43" s="11"/>
      <c r="E43" s="2"/>
      <c r="F43" s="2"/>
      <c r="G43" s="3"/>
      <c r="H43" s="5"/>
      <c r="I43" s="5"/>
      <c r="J43" s="5"/>
      <c r="K43" s="5"/>
      <c r="L43" s="2"/>
      <c r="M43" s="5"/>
      <c r="N43" s="5"/>
      <c r="O43" s="5"/>
      <c r="P43" s="5"/>
      <c r="Q43" s="7"/>
      <c r="R43" s="8"/>
      <c r="S43" s="5"/>
      <c r="U43" s="5"/>
    </row>
    <row r="44" spans="1:21" ht="15" customHeight="1">
      <c r="A44" s="3"/>
      <c r="B44" s="2"/>
      <c r="C44" s="2"/>
      <c r="D44" s="11"/>
      <c r="E44" s="2"/>
      <c r="F44" s="2"/>
      <c r="G44" s="3"/>
      <c r="H44" s="5"/>
      <c r="I44" s="5"/>
      <c r="J44" s="5"/>
      <c r="K44" s="5"/>
      <c r="L44" s="2"/>
      <c r="M44" s="5"/>
      <c r="N44" s="5"/>
      <c r="O44" s="5"/>
      <c r="P44" s="5"/>
      <c r="Q44" s="7"/>
      <c r="R44" s="8"/>
      <c r="S44" s="5"/>
      <c r="U44" s="5"/>
    </row>
    <row r="45" spans="1:21" ht="15" customHeight="1">
      <c r="A45" s="3"/>
      <c r="B45" s="2"/>
      <c r="C45" s="2"/>
      <c r="D45" s="11"/>
      <c r="E45" s="2"/>
      <c r="F45" s="2"/>
      <c r="G45" s="3"/>
      <c r="H45" s="5"/>
      <c r="I45" s="5"/>
      <c r="J45" s="5"/>
      <c r="K45" s="5"/>
      <c r="L45" s="2"/>
      <c r="M45" s="5"/>
      <c r="N45" s="5"/>
      <c r="O45" s="5"/>
      <c r="P45" s="5"/>
      <c r="Q45" s="7"/>
      <c r="R45" s="8"/>
      <c r="S45" s="5"/>
      <c r="U45" s="5"/>
    </row>
    <row r="46" spans="1:21" ht="15" customHeight="1">
      <c r="A46" s="3"/>
      <c r="B46" s="2"/>
      <c r="C46" s="2"/>
      <c r="D46" s="11"/>
      <c r="E46" s="2"/>
      <c r="F46" s="2"/>
      <c r="G46" s="3"/>
      <c r="H46" s="5"/>
      <c r="I46" s="5"/>
      <c r="J46" s="5"/>
      <c r="K46" s="5"/>
      <c r="L46" s="2"/>
      <c r="M46" s="5"/>
      <c r="N46" s="2"/>
      <c r="O46" s="2"/>
      <c r="P46" s="5"/>
      <c r="Q46" s="7"/>
      <c r="R46" s="8"/>
      <c r="S46" s="5"/>
      <c r="U46" s="5"/>
    </row>
    <row r="47" spans="1:21" ht="15" customHeight="1">
      <c r="A47" s="3"/>
      <c r="B47" s="2"/>
      <c r="C47" s="2"/>
      <c r="D47" s="11"/>
      <c r="E47" s="2"/>
      <c r="F47" s="2"/>
      <c r="G47" s="3"/>
      <c r="H47" s="5"/>
      <c r="I47" s="5"/>
      <c r="J47" s="5"/>
      <c r="K47" s="5"/>
      <c r="L47" s="2"/>
      <c r="M47" s="5"/>
      <c r="N47" s="2"/>
      <c r="O47" s="2"/>
      <c r="P47" s="2"/>
      <c r="Q47" s="33"/>
      <c r="R47" s="8"/>
      <c r="S47" s="5"/>
      <c r="U47" s="5"/>
    </row>
    <row r="48" spans="1:21" ht="15" customHeight="1">
      <c r="A48" s="3"/>
      <c r="B48" s="2"/>
      <c r="C48" s="2"/>
      <c r="D48" s="11"/>
      <c r="E48" s="2"/>
      <c r="F48" s="2"/>
      <c r="G48" s="3"/>
      <c r="H48" s="5"/>
      <c r="I48" s="5"/>
      <c r="J48" s="5"/>
      <c r="K48" s="5"/>
      <c r="L48" s="2"/>
      <c r="M48" s="5"/>
      <c r="N48" s="2"/>
      <c r="O48" s="2"/>
      <c r="P48" s="5"/>
      <c r="Q48" s="7"/>
      <c r="R48" s="8"/>
      <c r="S48" s="5"/>
      <c r="U48" s="5"/>
    </row>
    <row r="49" spans="1:15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5"/>
      <c r="O49" s="5"/>
    </row>
    <row r="50" spans="1:15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5"/>
      <c r="O50" s="5"/>
    </row>
    <row r="51" spans="1:15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5"/>
      <c r="O51" s="5"/>
    </row>
    <row r="52" spans="1:15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5"/>
      <c r="O52" s="5"/>
    </row>
    <row r="53" spans="1:15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5"/>
      <c r="O53" s="5"/>
    </row>
    <row r="54" spans="1:15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"/>
      <c r="O54" s="5"/>
    </row>
    <row r="55" spans="1:15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"/>
      <c r="O55" s="5"/>
    </row>
    <row r="56" spans="1:15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5"/>
      <c r="O56" s="5"/>
    </row>
    <row r="57" spans="1:15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5"/>
      <c r="O57" s="5"/>
    </row>
    <row r="58" spans="1:15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5"/>
      <c r="O58" s="5"/>
    </row>
    <row r="59" spans="1:15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"/>
      <c r="O59" s="5"/>
    </row>
    <row r="60" spans="1:15" ht="1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5"/>
      <c r="O60" s="5"/>
    </row>
    <row r="61" spans="1:15" ht="1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5"/>
      <c r="O61" s="5"/>
    </row>
    <row r="62" spans="1:15" ht="1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5"/>
      <c r="O62" s="5"/>
    </row>
    <row r="63" spans="1:15" ht="1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5"/>
      <c r="O63" s="5"/>
    </row>
    <row r="64" spans="1:15" ht="1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5"/>
      <c r="O64" s="5"/>
    </row>
    <row r="65" spans="1:15" ht="15" customHeight="1">
      <c r="A65" s="3"/>
      <c r="B65" s="2"/>
      <c r="C65" s="2"/>
      <c r="D65" s="11"/>
      <c r="E65" s="2"/>
      <c r="F65" s="2"/>
      <c r="G65" s="3"/>
      <c r="H65" s="5"/>
      <c r="I65" s="5"/>
      <c r="J65" s="5"/>
      <c r="K65" s="5"/>
      <c r="L65" s="2"/>
      <c r="M65" s="5"/>
      <c r="N65" s="5"/>
      <c r="O65" s="5"/>
    </row>
    <row r="66" spans="1:15" ht="15" customHeight="1">
      <c r="A66" s="3"/>
      <c r="B66" s="2"/>
      <c r="C66" s="2"/>
      <c r="D66" s="11"/>
      <c r="E66" s="2"/>
      <c r="F66" s="2"/>
      <c r="G66" s="3"/>
      <c r="H66" s="5"/>
      <c r="I66" s="5"/>
      <c r="J66" s="5"/>
      <c r="K66" s="5"/>
      <c r="L66" s="2"/>
      <c r="M66" s="5"/>
      <c r="N66" s="5"/>
      <c r="O66" s="5"/>
    </row>
    <row r="67" spans="1:15" ht="15" customHeight="1">
      <c r="A67" s="3"/>
      <c r="B67" s="2"/>
      <c r="C67" s="2"/>
      <c r="D67" s="11"/>
      <c r="E67" s="2"/>
      <c r="F67" s="2"/>
      <c r="G67" s="3"/>
      <c r="H67" s="5"/>
      <c r="I67" s="5"/>
      <c r="J67" s="5"/>
      <c r="K67" s="5"/>
      <c r="L67" s="2"/>
      <c r="M67" s="5"/>
      <c r="N67" s="5"/>
      <c r="O67" s="5"/>
    </row>
    <row r="68" spans="1:15" ht="15" customHeight="1">
      <c r="A68" s="3"/>
      <c r="B68" s="2"/>
      <c r="C68" s="2"/>
      <c r="D68" s="11"/>
      <c r="E68" s="2"/>
      <c r="F68" s="2"/>
      <c r="G68" s="3"/>
      <c r="H68" s="5"/>
      <c r="I68" s="5"/>
      <c r="J68" s="5"/>
      <c r="K68" s="5"/>
      <c r="L68" s="2"/>
      <c r="M68" s="5"/>
      <c r="N68" s="5"/>
      <c r="O68" s="5"/>
    </row>
    <row r="69" spans="1:15" ht="15" customHeight="1">
      <c r="A69" s="3"/>
      <c r="B69" s="2"/>
      <c r="C69" s="2"/>
      <c r="D69" s="11"/>
      <c r="E69" s="2"/>
      <c r="F69" s="2"/>
      <c r="G69" s="3"/>
      <c r="H69" s="5"/>
      <c r="I69" s="5"/>
      <c r="J69" s="5"/>
      <c r="K69" s="5"/>
      <c r="L69" s="2"/>
      <c r="M69" s="5"/>
      <c r="N69" s="5"/>
      <c r="O69" s="5"/>
    </row>
    <row r="70" spans="1:15" ht="15" customHeight="1">
      <c r="A70" s="4"/>
      <c r="B70" s="5"/>
      <c r="C70" s="3"/>
      <c r="D70" s="11"/>
      <c r="E70" s="2"/>
      <c r="F70" s="2"/>
      <c r="G70" s="3"/>
      <c r="H70" s="5"/>
      <c r="I70" s="5"/>
      <c r="J70" s="5"/>
      <c r="K70" s="5"/>
      <c r="L70" s="2"/>
      <c r="M70" s="2"/>
      <c r="N70" s="2"/>
      <c r="O70" s="2"/>
    </row>
    <row r="71" spans="1:15" ht="15" customHeight="1">
      <c r="A71" s="8"/>
      <c r="B71" s="2"/>
      <c r="C71" s="14"/>
      <c r="D71" s="11"/>
      <c r="E71" s="2"/>
      <c r="F71" s="2"/>
      <c r="G71" s="3"/>
      <c r="H71" s="5"/>
      <c r="I71" s="5"/>
      <c r="J71" s="5"/>
      <c r="K71" s="2"/>
      <c r="L71" s="2"/>
      <c r="M71" s="2"/>
      <c r="N71" s="2"/>
      <c r="O71" s="2"/>
    </row>
    <row r="72" spans="1:15" ht="15" customHeight="1">
      <c r="A72" s="5"/>
      <c r="B72" s="5"/>
      <c r="C72" s="5"/>
      <c r="D72" s="11"/>
      <c r="E72" s="2"/>
      <c r="F72" s="2"/>
      <c r="G72" s="3"/>
      <c r="H72" s="5"/>
      <c r="I72" s="5"/>
      <c r="J72" s="5"/>
      <c r="K72" s="5"/>
      <c r="L72" s="2"/>
      <c r="M72" s="2"/>
      <c r="N72" s="2"/>
      <c r="O72" s="2"/>
    </row>
    <row r="73" spans="1:15" ht="15" customHeight="1">
      <c r="A73" s="35"/>
      <c r="B73" s="4"/>
      <c r="C73" s="4"/>
      <c r="D73" s="11"/>
      <c r="E73" s="2"/>
      <c r="F73" s="2"/>
      <c r="G73" s="3"/>
      <c r="H73" s="5"/>
      <c r="I73" s="5"/>
      <c r="J73" s="5"/>
      <c r="K73" s="2"/>
      <c r="L73" s="11"/>
      <c r="M73" s="2"/>
      <c r="N73" s="2"/>
      <c r="O73" s="2"/>
    </row>
    <row r="74" spans="1:15" ht="15" customHeight="1">
      <c r="A74" s="22"/>
      <c r="B74" s="4"/>
      <c r="C74" s="4"/>
      <c r="D74" s="11"/>
      <c r="E74" s="2"/>
      <c r="F74" s="2"/>
      <c r="G74" s="3"/>
      <c r="H74" s="5"/>
      <c r="I74" s="5"/>
      <c r="J74" s="5"/>
      <c r="K74" s="5"/>
      <c r="L74" s="2"/>
      <c r="M74" s="2"/>
      <c r="N74" s="2"/>
      <c r="O74" s="2"/>
    </row>
    <row r="75" spans="1:15" ht="15" customHeight="1">
      <c r="A75" s="22"/>
      <c r="B75" s="4"/>
      <c r="C75" s="4"/>
      <c r="D75" s="11"/>
      <c r="E75" s="2"/>
      <c r="F75" s="2"/>
      <c r="G75" s="3"/>
      <c r="H75" s="5"/>
      <c r="I75" s="5"/>
      <c r="J75" s="5"/>
      <c r="K75" s="5"/>
      <c r="L75" s="2"/>
      <c r="M75" s="2"/>
      <c r="N75" s="2"/>
      <c r="O75" s="2"/>
    </row>
    <row r="76" spans="1:15" ht="15" customHeight="1">
      <c r="A76" s="22"/>
      <c r="B76" s="4"/>
      <c r="C76" s="4"/>
      <c r="D76" s="11"/>
      <c r="E76" s="2"/>
      <c r="F76" s="2"/>
      <c r="G76" s="3"/>
      <c r="H76" s="5"/>
      <c r="I76" s="5"/>
      <c r="J76" s="5"/>
      <c r="K76" s="5"/>
      <c r="L76" s="2"/>
      <c r="M76" s="2"/>
      <c r="N76" s="2"/>
      <c r="O76" s="2"/>
    </row>
    <row r="77" spans="1:15" ht="15" customHeight="1">
      <c r="A77" s="22"/>
      <c r="B77" s="4"/>
      <c r="C77" s="4"/>
      <c r="D77" s="11"/>
      <c r="E77" s="2"/>
      <c r="F77" s="2"/>
      <c r="G77" s="3"/>
      <c r="H77" s="5"/>
      <c r="I77" s="5"/>
      <c r="J77" s="5"/>
      <c r="K77" s="5"/>
      <c r="L77" s="2"/>
      <c r="M77" s="2"/>
      <c r="N77" s="2"/>
      <c r="O77" s="2"/>
    </row>
    <row r="78" spans="1:15" ht="15" customHeight="1">
      <c r="A78" s="22"/>
      <c r="B78" s="4"/>
      <c r="C78" s="4"/>
      <c r="D78" s="11"/>
      <c r="E78" s="2"/>
      <c r="F78" s="2"/>
      <c r="G78" s="3"/>
      <c r="H78" s="5"/>
      <c r="I78" s="5"/>
      <c r="J78" s="5"/>
      <c r="K78" s="5"/>
      <c r="L78" s="2"/>
      <c r="M78" s="2"/>
      <c r="N78" s="2"/>
      <c r="O78" s="2"/>
    </row>
    <row r="79" spans="1:15" ht="15" customHeight="1">
      <c r="A79" s="22"/>
      <c r="B79" s="4"/>
      <c r="C79" s="4"/>
      <c r="D79" s="11"/>
      <c r="E79" s="2"/>
      <c r="F79" s="2"/>
      <c r="G79" s="3"/>
      <c r="H79" s="5"/>
      <c r="I79" s="5"/>
      <c r="J79" s="5"/>
      <c r="K79" s="5"/>
      <c r="L79" s="2"/>
      <c r="M79" s="2"/>
      <c r="N79" s="2"/>
      <c r="O79" s="2"/>
    </row>
    <row r="80" spans="1:15" ht="15" customHeight="1">
      <c r="A80" s="22"/>
      <c r="B80" s="4"/>
      <c r="C80" s="4"/>
      <c r="D80" s="11"/>
      <c r="E80" s="2"/>
      <c r="F80" s="2"/>
      <c r="G80" s="3"/>
      <c r="H80" s="5"/>
      <c r="I80" s="5"/>
      <c r="J80" s="5"/>
      <c r="K80" s="5"/>
      <c r="L80" s="2"/>
      <c r="M80" s="2"/>
      <c r="N80" s="2"/>
      <c r="O80" s="2"/>
    </row>
    <row r="81" spans="1:15" ht="15" customHeight="1">
      <c r="A81" s="22"/>
      <c r="B81" s="4"/>
      <c r="C81" s="4"/>
      <c r="D81" s="11"/>
      <c r="E81" s="2"/>
      <c r="F81" s="2"/>
      <c r="G81" s="3"/>
      <c r="H81" s="5"/>
      <c r="I81" s="5"/>
      <c r="J81" s="5"/>
      <c r="K81" s="5"/>
      <c r="L81" s="2"/>
      <c r="M81" s="2"/>
      <c r="N81" s="2"/>
      <c r="O81" s="2"/>
    </row>
    <row r="82" spans="1:15" ht="15" customHeight="1">
      <c r="A82" s="22"/>
      <c r="B82" s="4"/>
      <c r="C82" s="4"/>
      <c r="D82" s="11"/>
      <c r="E82" s="2"/>
      <c r="F82" s="2"/>
      <c r="G82" s="3"/>
      <c r="H82" s="5"/>
      <c r="I82" s="5"/>
      <c r="J82" s="5"/>
      <c r="K82" s="5"/>
      <c r="L82" s="2"/>
      <c r="M82" s="2"/>
      <c r="N82" s="2"/>
      <c r="O82" s="2"/>
    </row>
    <row r="83" spans="1:15" ht="15" customHeight="1">
      <c r="A83" s="22"/>
      <c r="B83" s="4"/>
      <c r="C83" s="4"/>
      <c r="D83" s="11"/>
      <c r="E83" s="2"/>
      <c r="F83" s="2"/>
      <c r="G83" s="3"/>
      <c r="H83" s="5"/>
      <c r="I83" s="5"/>
      <c r="J83" s="5"/>
      <c r="K83" s="5"/>
      <c r="L83" s="2"/>
      <c r="M83" s="2"/>
      <c r="N83" s="2"/>
      <c r="O83" s="2"/>
    </row>
    <row r="84" spans="1:15" ht="15" customHeight="1">
      <c r="A84" s="3"/>
      <c r="B84" s="2"/>
      <c r="C84" s="2"/>
      <c r="D84" s="11"/>
      <c r="E84" s="2"/>
      <c r="F84" s="2"/>
      <c r="G84" s="3"/>
      <c r="H84" s="5"/>
      <c r="I84" s="5"/>
      <c r="J84" s="5"/>
      <c r="K84" s="5"/>
      <c r="L84" s="2"/>
      <c r="M84" s="36"/>
      <c r="N84" s="5"/>
      <c r="O84" s="5"/>
    </row>
    <row r="85" spans="1:15" ht="15" customHeight="1">
      <c r="A85" s="3"/>
      <c r="B85" s="2"/>
      <c r="C85" s="2"/>
      <c r="D85" s="11"/>
      <c r="E85" s="2"/>
      <c r="F85" s="2"/>
      <c r="G85" s="3"/>
      <c r="H85" s="5"/>
      <c r="I85" s="5"/>
      <c r="J85" s="5"/>
      <c r="K85" s="5"/>
      <c r="L85" s="2"/>
      <c r="M85" s="36"/>
      <c r="N85" s="5"/>
      <c r="O85" s="5"/>
    </row>
    <row r="86" spans="1:15" ht="15" customHeight="1">
      <c r="A86" s="3"/>
      <c r="B86" s="2"/>
      <c r="C86" s="2"/>
      <c r="D86" s="11"/>
      <c r="E86" s="2"/>
      <c r="F86" s="2"/>
      <c r="G86" s="3"/>
      <c r="H86" s="5"/>
      <c r="I86" s="5"/>
      <c r="J86" s="5"/>
      <c r="K86" s="5"/>
      <c r="L86" s="2"/>
      <c r="M86" s="5"/>
      <c r="N86" s="5"/>
      <c r="O86" s="5"/>
    </row>
    <row r="87" spans="1:15" ht="15" customHeight="1">
      <c r="A87" s="3"/>
      <c r="B87" s="2"/>
      <c r="C87" s="2"/>
      <c r="D87" s="11"/>
      <c r="E87" s="2"/>
      <c r="F87" s="2"/>
      <c r="G87" s="3"/>
      <c r="H87" s="5"/>
      <c r="I87" s="5"/>
      <c r="J87" s="5"/>
      <c r="K87" s="5"/>
      <c r="L87" s="2"/>
      <c r="M87" s="5"/>
      <c r="N87" s="5"/>
      <c r="O87" s="5"/>
    </row>
    <row r="88" spans="1:15" ht="15" customHeight="1">
      <c r="A88" s="3"/>
      <c r="B88" s="2"/>
      <c r="C88" s="2"/>
      <c r="D88" s="11"/>
      <c r="E88" s="2"/>
      <c r="F88" s="2"/>
      <c r="G88" s="3"/>
      <c r="H88" s="5"/>
      <c r="I88" s="5"/>
      <c r="J88" s="5"/>
      <c r="K88" s="5"/>
      <c r="L88" s="2"/>
      <c r="M88" s="5"/>
      <c r="N88" s="5"/>
      <c r="O88" s="5"/>
    </row>
    <row r="89" spans="1:15" ht="15" customHeight="1">
      <c r="A89" s="3"/>
      <c r="B89" s="2"/>
      <c r="C89" s="2"/>
      <c r="D89" s="11"/>
      <c r="E89" s="2"/>
      <c r="F89" s="2"/>
      <c r="G89" s="3"/>
      <c r="H89" s="5"/>
      <c r="I89" s="5"/>
      <c r="J89" s="5"/>
      <c r="K89" s="5"/>
      <c r="L89" s="2"/>
      <c r="M89" s="5"/>
      <c r="N89" s="5"/>
      <c r="O89" s="5"/>
    </row>
    <row r="90" spans="1:15" ht="15" customHeight="1">
      <c r="A90" s="3"/>
      <c r="B90" s="2"/>
      <c r="C90" s="2"/>
      <c r="D90" s="11"/>
      <c r="E90" s="2"/>
      <c r="F90" s="2"/>
      <c r="G90" s="3"/>
      <c r="H90" s="5"/>
      <c r="I90" s="5"/>
      <c r="J90" s="5"/>
      <c r="K90" s="5"/>
      <c r="L90" s="2"/>
      <c r="M90" s="5"/>
      <c r="N90" s="5"/>
      <c r="O90" s="5"/>
    </row>
    <row r="91" spans="1:15" ht="15" customHeight="1">
      <c r="A91" s="3"/>
      <c r="B91" s="2"/>
      <c r="C91" s="2"/>
      <c r="D91" s="11"/>
      <c r="E91" s="2"/>
      <c r="F91" s="2"/>
      <c r="G91" s="3"/>
      <c r="H91" s="5"/>
      <c r="I91" s="5"/>
      <c r="J91" s="5"/>
      <c r="K91" s="5"/>
      <c r="L91" s="2"/>
      <c r="M91" s="5"/>
      <c r="N91" s="5"/>
      <c r="O91" s="5"/>
    </row>
    <row r="92" spans="1:15" ht="15" customHeight="1">
      <c r="A92" s="3"/>
      <c r="B92" s="2"/>
      <c r="C92" s="2"/>
      <c r="D92" s="11"/>
      <c r="E92" s="2"/>
      <c r="F92" s="2"/>
      <c r="G92" s="3"/>
      <c r="H92" s="5"/>
      <c r="I92" s="5"/>
      <c r="J92" s="5"/>
      <c r="K92" s="5"/>
      <c r="L92" s="2"/>
      <c r="M92" s="5"/>
      <c r="N92" s="5"/>
      <c r="O92" s="5"/>
    </row>
    <row r="93" spans="1:15" ht="15" customHeight="1">
      <c r="A93" s="3"/>
      <c r="B93" s="2"/>
      <c r="C93" s="2"/>
      <c r="D93" s="11"/>
      <c r="E93" s="2"/>
      <c r="F93" s="2"/>
      <c r="G93" s="3"/>
      <c r="H93" s="5"/>
      <c r="I93" s="5"/>
      <c r="J93" s="5"/>
      <c r="K93" s="5"/>
      <c r="L93" s="2"/>
      <c r="M93" s="5"/>
      <c r="N93" s="5"/>
      <c r="O93" s="5"/>
    </row>
    <row r="94" spans="1:15" ht="15" customHeight="1">
      <c r="A94" s="3"/>
      <c r="B94" s="2"/>
      <c r="C94" s="2"/>
      <c r="D94" s="11"/>
      <c r="E94" s="2"/>
      <c r="F94" s="2"/>
      <c r="G94" s="3"/>
      <c r="H94" s="5"/>
      <c r="I94" s="5"/>
      <c r="J94" s="5"/>
      <c r="K94" s="5"/>
      <c r="L94" s="2"/>
      <c r="M94" s="5"/>
      <c r="N94" s="5"/>
      <c r="O94" s="5"/>
    </row>
    <row r="95" spans="1:15" ht="15" customHeight="1">
      <c r="A95" s="3"/>
      <c r="B95" s="2"/>
      <c r="C95" s="2"/>
      <c r="D95" s="11"/>
      <c r="E95" s="2"/>
      <c r="F95" s="2"/>
      <c r="G95" s="3"/>
      <c r="H95" s="5"/>
      <c r="I95" s="5"/>
      <c r="J95" s="5"/>
      <c r="K95" s="5"/>
      <c r="L95" s="2"/>
      <c r="M95" s="5"/>
      <c r="N95" s="5"/>
      <c r="O95" s="5"/>
    </row>
    <row r="96" spans="1:15" ht="15" customHeight="1">
      <c r="A96" s="3"/>
      <c r="B96" s="2"/>
      <c r="C96" s="2"/>
      <c r="D96" s="11"/>
      <c r="E96" s="2"/>
      <c r="F96" s="2"/>
      <c r="G96" s="3"/>
      <c r="H96" s="5"/>
      <c r="I96" s="5"/>
      <c r="J96" s="5"/>
      <c r="K96" s="5"/>
      <c r="L96" s="2"/>
      <c r="M96" s="5"/>
      <c r="N96" s="5"/>
      <c r="O96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Nowell</dc:creator>
  <cp:keywords/>
  <dc:description/>
  <cp:lastModifiedBy>Del Hanson</cp:lastModifiedBy>
  <cp:lastPrinted>1998-12-17T14:51:38Z</cp:lastPrinted>
  <dcterms:created xsi:type="dcterms:W3CDTF">1998-03-24T12:14:29Z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