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120" windowWidth="15195" windowHeight="8700"/>
  </bookViews>
  <sheets>
    <sheet name="Rev" sheetId="3" r:id="rId1"/>
    <sheet name="4 Chan WDM" sheetId="1" r:id="rId2"/>
    <sheet name="Functions" sheetId="2" r:id="rId3"/>
    <sheet name="Channel Est" sheetId="4" r:id="rId4"/>
  </sheets>
  <functionGroups/>
  <definedNames>
    <definedName name="MaxLambdaTable">'4 Chan WDM'!$C$43:$H$47</definedName>
    <definedName name="MinLambdaTable">'4 Chan WDM'!$C$48:$H$52</definedName>
    <definedName name="SOL">'Channel Est'!$B$1</definedName>
  </definedNames>
  <calcPr calcId="125725"/>
</workbook>
</file>

<file path=xl/calcChain.xml><?xml version="1.0" encoding="utf-8"?>
<calcChain xmlns="http://schemas.openxmlformats.org/spreadsheetml/2006/main">
  <c r="B8" i="4"/>
  <c r="B3" s="1"/>
  <c r="A13" s="1"/>
  <c r="B9" l="1"/>
  <c r="A14"/>
  <c r="B14" s="1"/>
  <c r="C14" s="1"/>
  <c r="B13"/>
  <c r="C13" s="1"/>
  <c r="A15" l="1"/>
  <c r="B15" s="1"/>
  <c r="C15" s="1"/>
  <c r="A16" l="1"/>
  <c r="B16" s="1"/>
  <c r="C16" s="1"/>
  <c r="A17" l="1"/>
  <c r="B17" s="1"/>
  <c r="C17" s="1"/>
  <c r="A18" l="1"/>
  <c r="B18" s="1"/>
  <c r="C18" s="1"/>
  <c r="A19" l="1"/>
  <c r="B19" s="1"/>
  <c r="C19" s="1"/>
  <c r="A20" l="1"/>
  <c r="B20" s="1"/>
  <c r="C20" s="1"/>
  <c r="A21" l="1"/>
  <c r="B21" s="1"/>
  <c r="C21" s="1"/>
  <c r="A22" l="1"/>
  <c r="B22" s="1"/>
  <c r="C22" s="1"/>
  <c r="A23" l="1"/>
  <c r="B23" s="1"/>
  <c r="C23" s="1"/>
  <c r="A24" l="1"/>
  <c r="B24" s="1"/>
  <c r="C24" s="1"/>
  <c r="A25" l="1"/>
  <c r="B25" s="1"/>
  <c r="C25" s="1"/>
  <c r="A26" l="1"/>
  <c r="B26" s="1"/>
  <c r="C26" s="1"/>
  <c r="A27" l="1"/>
  <c r="B27" s="1"/>
  <c r="C27" s="1"/>
  <c r="A28" l="1"/>
  <c r="B28" s="1"/>
  <c r="C28" s="1"/>
  <c r="A29" l="1"/>
  <c r="B29" s="1"/>
  <c r="C29" s="1"/>
  <c r="A30" l="1"/>
  <c r="B30" s="1"/>
  <c r="C30" s="1"/>
  <c r="A31" l="1"/>
  <c r="B31" s="1"/>
  <c r="C31" s="1"/>
  <c r="A32" l="1"/>
  <c r="B32" s="1"/>
  <c r="C32" s="1"/>
  <c r="A33" l="1"/>
  <c r="B33" l="1"/>
  <c r="C33" s="1"/>
  <c r="F52" i="1" l="1"/>
  <c r="G52"/>
  <c r="H52"/>
  <c r="E52"/>
  <c r="F47"/>
  <c r="G47"/>
  <c r="H47"/>
  <c r="E47"/>
  <c r="A19"/>
  <c r="E21"/>
  <c r="E20" s="1"/>
  <c r="G8" i="2"/>
  <c r="G10"/>
  <c r="G12"/>
  <c r="G14"/>
  <c r="G16"/>
  <c r="G18"/>
  <c r="G20"/>
  <c r="G22"/>
  <c r="G24"/>
  <c r="G26"/>
  <c r="G28"/>
  <c r="G30"/>
  <c r="G32"/>
  <c r="G34"/>
  <c r="G36"/>
  <c r="G38"/>
  <c r="G40"/>
  <c r="G42"/>
  <c r="E7"/>
  <c r="E9"/>
  <c r="E11"/>
  <c r="E13"/>
  <c r="E15"/>
  <c r="E17"/>
  <c r="E19"/>
  <c r="E21"/>
  <c r="E23"/>
  <c r="E25"/>
  <c r="E27"/>
  <c r="E29"/>
  <c r="E31"/>
  <c r="E33"/>
  <c r="E35"/>
  <c r="E37"/>
  <c r="E39"/>
  <c r="E41"/>
  <c r="D6"/>
  <c r="B7"/>
  <c r="B9"/>
  <c r="B11"/>
  <c r="B13"/>
  <c r="B15"/>
  <c r="C17"/>
  <c r="C21"/>
  <c r="C23"/>
  <c r="C25"/>
  <c r="C27"/>
  <c r="C29"/>
  <c r="C31"/>
  <c r="C33"/>
  <c r="C35"/>
  <c r="C37"/>
  <c r="C39"/>
  <c r="C41"/>
  <c r="C6"/>
  <c r="G7"/>
  <c r="G9"/>
  <c r="G13"/>
  <c r="G15"/>
  <c r="G19"/>
  <c r="G23"/>
  <c r="G27"/>
  <c r="G31"/>
  <c r="G35"/>
  <c r="G39"/>
  <c r="G41"/>
  <c r="E8"/>
  <c r="E12"/>
  <c r="E16"/>
  <c r="E20"/>
  <c r="E24"/>
  <c r="E28"/>
  <c r="E32"/>
  <c r="E36"/>
  <c r="E40"/>
  <c r="B12"/>
  <c r="B16"/>
  <c r="C22"/>
  <c r="C26"/>
  <c r="C30"/>
  <c r="C34"/>
  <c r="C38"/>
  <c r="C42"/>
  <c r="F7"/>
  <c r="F9"/>
  <c r="F13"/>
  <c r="F15"/>
  <c r="F19"/>
  <c r="F23"/>
  <c r="F27"/>
  <c r="F31"/>
  <c r="F35"/>
  <c r="F41"/>
  <c r="D8"/>
  <c r="D10"/>
  <c r="D14"/>
  <c r="D18"/>
  <c r="D22"/>
  <c r="D26"/>
  <c r="D30"/>
  <c r="D34"/>
  <c r="D38"/>
  <c r="D42"/>
  <c r="C7"/>
  <c r="C11"/>
  <c r="C13"/>
  <c r="C18"/>
  <c r="B24"/>
  <c r="B28"/>
  <c r="B32"/>
  <c r="B36"/>
  <c r="B40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E6"/>
  <c r="C8"/>
  <c r="C10"/>
  <c r="C12"/>
  <c r="C14"/>
  <c r="C16"/>
  <c r="C20"/>
  <c r="B23"/>
  <c r="B25"/>
  <c r="B27"/>
  <c r="B29"/>
  <c r="B31"/>
  <c r="B33"/>
  <c r="B35"/>
  <c r="B37"/>
  <c r="B39"/>
  <c r="B41"/>
  <c r="B6"/>
  <c r="G11"/>
  <c r="G17"/>
  <c r="G21"/>
  <c r="G25"/>
  <c r="G29"/>
  <c r="G33"/>
  <c r="G37"/>
  <c r="F6"/>
  <c r="E10"/>
  <c r="E14"/>
  <c r="E18"/>
  <c r="E22"/>
  <c r="E26"/>
  <c r="E30"/>
  <c r="E34"/>
  <c r="E38"/>
  <c r="E42"/>
  <c r="B8"/>
  <c r="B10"/>
  <c r="B14"/>
  <c r="C19"/>
  <c r="C24"/>
  <c r="C28"/>
  <c r="C32"/>
  <c r="C36"/>
  <c r="C40"/>
  <c r="F11"/>
  <c r="F17"/>
  <c r="F21"/>
  <c r="F25"/>
  <c r="F29"/>
  <c r="F33"/>
  <c r="F37"/>
  <c r="F39"/>
  <c r="G6"/>
  <c r="D12"/>
  <c r="D16"/>
  <c r="D20"/>
  <c r="D24"/>
  <c r="D28"/>
  <c r="D32"/>
  <c r="D36"/>
  <c r="D40"/>
  <c r="C9"/>
  <c r="C15"/>
  <c r="B22"/>
  <c r="B26"/>
  <c r="B30"/>
  <c r="B34"/>
  <c r="B38"/>
  <c r="B42"/>
  <c r="E22" i="1" l="1"/>
  <c r="F21"/>
  <c r="G21" l="1"/>
  <c r="F20"/>
  <c r="F22"/>
  <c r="G20" l="1"/>
  <c r="H21"/>
  <c r="G22"/>
  <c r="H20" l="1"/>
  <c r="H22"/>
  <c r="F51" l="1"/>
  <c r="F28" s="1"/>
  <c r="F25" s="1"/>
  <c r="E46"/>
  <c r="E27" s="1"/>
  <c r="G46"/>
  <c r="G27" s="1"/>
  <c r="F46"/>
  <c r="F27" s="1"/>
  <c r="H51"/>
  <c r="H28" s="1"/>
  <c r="H25" s="1"/>
  <c r="G51"/>
  <c r="G28" s="1"/>
  <c r="E51"/>
  <c r="E28" s="1"/>
  <c r="H46"/>
  <c r="H27" s="1"/>
  <c r="F40"/>
  <c r="H34"/>
  <c r="E30"/>
  <c r="G32"/>
  <c r="G36"/>
  <c r="F39"/>
  <c r="H33"/>
  <c r="G29"/>
  <c r="E31"/>
  <c r="E35"/>
  <c r="F34"/>
  <c r="H30"/>
  <c r="E32"/>
  <c r="E36"/>
  <c r="G40"/>
  <c r="F33"/>
  <c r="H29"/>
  <c r="G31"/>
  <c r="G35"/>
  <c r="E39"/>
  <c r="H32"/>
  <c r="H36"/>
  <c r="E40"/>
  <c r="G34"/>
  <c r="F29"/>
  <c r="H31"/>
  <c r="H35"/>
  <c r="G39"/>
  <c r="E33"/>
  <c r="F32"/>
  <c r="F36"/>
  <c r="H40"/>
  <c r="E34"/>
  <c r="G30"/>
  <c r="F31"/>
  <c r="F35"/>
  <c r="H39"/>
  <c r="G33"/>
  <c r="E29"/>
  <c r="F30"/>
  <c r="C16" l="1"/>
  <c r="C14"/>
  <c r="C15"/>
  <c r="E54"/>
  <c r="G54"/>
  <c r="H54"/>
  <c r="F54"/>
  <c r="G23"/>
  <c r="G24" s="1"/>
  <c r="E23"/>
  <c r="E24" s="1"/>
  <c r="G26"/>
  <c r="F23"/>
  <c r="F24" s="1"/>
  <c r="G37"/>
  <c r="G41"/>
  <c r="E37"/>
  <c r="E41"/>
  <c r="H37"/>
  <c r="H41"/>
  <c r="F37"/>
  <c r="F41"/>
  <c r="F26"/>
  <c r="G25"/>
  <c r="H23"/>
  <c r="H24" s="1"/>
  <c r="E26"/>
  <c r="C41" l="1"/>
  <c r="C42" s="1"/>
  <c r="C37"/>
  <c r="H55"/>
  <c r="H56"/>
  <c r="E56"/>
  <c r="E55"/>
  <c r="G55"/>
  <c r="G56"/>
  <c r="F55"/>
  <c r="F56"/>
  <c r="C17" l="1"/>
  <c r="C38"/>
  <c r="C18" s="1"/>
</calcChain>
</file>

<file path=xl/sharedStrings.xml><?xml version="1.0" encoding="utf-8"?>
<sst xmlns="http://schemas.openxmlformats.org/spreadsheetml/2006/main" count="172" uniqueCount="112">
  <si>
    <t>G.652.C&amp;D</t>
  </si>
  <si>
    <t>Aggregate bit rate after PCS coding</t>
  </si>
  <si>
    <t>-</t>
  </si>
  <si>
    <t>G.652.A&amp;B</t>
  </si>
  <si>
    <t>D max</t>
  </si>
  <si>
    <t>D min</t>
  </si>
  <si>
    <t>Relative Delay</t>
  </si>
  <si>
    <t>(nm)</t>
  </si>
  <si>
    <t>(ps/nm.km)</t>
  </si>
  <si>
    <t>(ps/km)</t>
  </si>
  <si>
    <t>lambda</t>
  </si>
  <si>
    <t>(dB/km)</t>
  </si>
  <si>
    <t>Max Loss</t>
  </si>
  <si>
    <t>Link length</t>
  </si>
  <si>
    <t>km</t>
  </si>
  <si>
    <t>Grid type</t>
  </si>
  <si>
    <t>DWDM Grid Spacing</t>
  </si>
  <si>
    <t>GHz</t>
  </si>
  <si>
    <t>DWDM</t>
  </si>
  <si>
    <t>THz</t>
  </si>
  <si>
    <t>Channel centre frequency</t>
  </si>
  <si>
    <t>Channel frequency upper bound</t>
  </si>
  <si>
    <t>Channel frequency lower bound</t>
  </si>
  <si>
    <t>DWDM Frequency tolerance (+/-% of spacing)</t>
  </si>
  <si>
    <t>%</t>
  </si>
  <si>
    <t>nm</t>
  </si>
  <si>
    <t>DWDM Channel 1 centre frequency</t>
  </si>
  <si>
    <t>ITU CWDM Channel 1 centre wavelength</t>
  </si>
  <si>
    <t>ITU CWDM Wavelength tolerance (+/- nm)</t>
  </si>
  <si>
    <t>Channel number</t>
  </si>
  <si>
    <t>dB</t>
  </si>
  <si>
    <t>Maximum fibre loss at max channel wavelength</t>
  </si>
  <si>
    <t>Maximum channel wavelength</t>
  </si>
  <si>
    <t>Minimum channel wavelength</t>
  </si>
  <si>
    <t>Maximum fibre loss at min channel wavelength</t>
  </si>
  <si>
    <t>Maximum fibre dispersion slope</t>
  </si>
  <si>
    <t>ps/(nm^2.km)</t>
  </si>
  <si>
    <t>Maximum dispersion at max channel wavelength</t>
  </si>
  <si>
    <t>Minimum dispersion at max channel wavelength</t>
  </si>
  <si>
    <t>Maximum dispersion at min channel wavelength</t>
  </si>
  <si>
    <t>Minimum dispersion at min channel wavelength</t>
  </si>
  <si>
    <t>ps/nm</t>
  </si>
  <si>
    <t>Value</t>
  </si>
  <si>
    <t>Parameter</t>
  </si>
  <si>
    <t>Units</t>
  </si>
  <si>
    <t>Minimum dispersion for any channel</t>
  </si>
  <si>
    <t>Maximum dispersion for any channel</t>
  </si>
  <si>
    <t>Maximum loss for any channel</t>
  </si>
  <si>
    <t>Inputs</t>
  </si>
  <si>
    <t>Results</t>
  </si>
  <si>
    <r>
      <t>Maximum zero dispersion wavelength (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min)</t>
    </r>
  </si>
  <si>
    <r>
      <t>Maximum zero dispersion wavelength (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max)</t>
    </r>
  </si>
  <si>
    <r>
      <t xml:space="preserve">for 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min</t>
    </r>
  </si>
  <si>
    <r>
      <t xml:space="preserve">for 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</si>
  <si>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max</t>
    </r>
  </si>
  <si>
    <r>
      <t xml:space="preserve">Relative delay at min channel wavelength and 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</si>
  <si>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min</t>
    </r>
  </si>
  <si>
    <r>
      <t xml:space="preserve">Relative delay at min channel wavelength and 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min</t>
    </r>
  </si>
  <si>
    <t>Maximum optical skew</t>
  </si>
  <si>
    <r>
      <t xml:space="preserve">Max optical skew for 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max</t>
    </r>
  </si>
  <si>
    <r>
      <t xml:space="preserve">Max optical skew for 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min</t>
    </r>
  </si>
  <si>
    <t>Maximum optical skew variation</t>
  </si>
  <si>
    <r>
      <t xml:space="preserve">Max change of optical skew for 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max</t>
    </r>
  </si>
  <si>
    <r>
      <t xml:space="preserve">Max change of optical skew for </t>
    </r>
    <r>
      <rPr>
        <sz val="12"/>
        <rFont val="Symbol"/>
        <family val="1"/>
        <charset val="2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2"/>
      </rPr>
      <t xml:space="preserve"> min</t>
    </r>
  </si>
  <si>
    <t>Loss</t>
  </si>
  <si>
    <t>Dispersion</t>
  </si>
  <si>
    <t>Skew</t>
  </si>
  <si>
    <t>Fibre limits</t>
  </si>
  <si>
    <t>Pete Anslow</t>
  </si>
  <si>
    <t>Paul Kolesar</t>
  </si>
  <si>
    <t>V 2.0</t>
  </si>
  <si>
    <t>anslow_02_0307.xls This version agreed at Fiber Optic Ad Hoc 4 April 2007</t>
  </si>
  <si>
    <t>V 1.0</t>
  </si>
  <si>
    <t>Initial version in anslow_02_0107.xls</t>
  </si>
  <si>
    <t>Re-arranged to have 4 separate channels and predict max optical skew variation.  Equations moved to user-defined functions.</t>
  </si>
  <si>
    <t>Fibre type (G.652.A&amp;B (B1.1) or G.652.C&amp;D (B1.3))</t>
  </si>
  <si>
    <r>
      <t xml:space="preserve">This spreadsheet includes User Defined Functions so </t>
    </r>
    <r>
      <rPr>
        <b/>
        <sz val="10"/>
        <rFont val="Arial"/>
        <family val="2"/>
      </rPr>
      <t>Macros must be Enabled</t>
    </r>
    <r>
      <rPr>
        <sz val="10"/>
        <rFont val="Arial"/>
        <family val="2"/>
      </rPr>
      <t xml:space="preserve"> for proper operation</t>
    </r>
  </si>
  <si>
    <t>The worksheet is locked except for input cells.  Use Tools, Protection, Unprotect sheet to unlock (no password needed)</t>
  </si>
  <si>
    <t>V 3.0 Draft 2</t>
  </si>
  <si>
    <t>UI</t>
  </si>
  <si>
    <t>GBd</t>
  </si>
  <si>
    <t>CWDM LX4</t>
  </si>
  <si>
    <t>CWDM ITU</t>
  </si>
  <si>
    <t>Custom</t>
  </si>
  <si>
    <t>channel width</t>
  </si>
  <si>
    <t>channel center</t>
  </si>
  <si>
    <t>channel guard above</t>
  </si>
  <si>
    <t>channel guard below</t>
  </si>
  <si>
    <t>n/a</t>
  </si>
  <si>
    <t>LR4</t>
  </si>
  <si>
    <t>V4.0</t>
  </si>
  <si>
    <t>User configurable cell are in bold blue font</t>
  </si>
  <si>
    <t>Custom Grid wavelengths</t>
  </si>
  <si>
    <t>Min</t>
  </si>
  <si>
    <t>Max</t>
  </si>
  <si>
    <t>Channel</t>
  </si>
  <si>
    <t>Grids</t>
  </si>
  <si>
    <t>c</t>
  </si>
  <si>
    <t>M/sec</t>
  </si>
  <si>
    <t>spacing</t>
  </si>
  <si>
    <t>Base</t>
  </si>
  <si>
    <t>Start</t>
  </si>
  <si>
    <t>n</t>
  </si>
  <si>
    <t>Channel 1 Est.</t>
  </si>
  <si>
    <t xml:space="preserve"> wavelength</t>
  </si>
  <si>
    <t>Frequency</t>
  </si>
  <si>
    <t>Wavelength</t>
  </si>
  <si>
    <t>Duane Remein</t>
  </si>
  <si>
    <t>Next lower Grid</t>
  </si>
  <si>
    <t>Flex Grid channels</t>
  </si>
  <si>
    <t>Channel Est. tab can be used to derive nearest grid frequencies to a given wavenength (nm)</t>
  </si>
  <si>
    <t>remein_3ca_3_0516.xlsx  Added ability to define custom channel wavelengths &amp; estimated channel frequency tab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</si>
</sst>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"/>
    <numFmt numFmtId="165" formatCode="0.0"/>
    <numFmt numFmtId="166" formatCode="d\ mmm\ yyyy"/>
    <numFmt numFmtId="167" formatCode="0.00_);\(0.00\)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name val="Symbol"/>
      <family val="1"/>
      <charset val="2"/>
    </font>
    <font>
      <vertAlign val="subscript"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/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2" borderId="18" xfId="0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0" fillId="2" borderId="0" xfId="0" applyFill="1" applyBorder="1"/>
    <xf numFmtId="0" fontId="0" fillId="2" borderId="19" xfId="0" applyFill="1" applyBorder="1"/>
    <xf numFmtId="0" fontId="0" fillId="0" borderId="0" xfId="0" applyBorder="1"/>
    <xf numFmtId="0" fontId="0" fillId="0" borderId="18" xfId="0" applyFill="1" applyBorder="1"/>
    <xf numFmtId="0" fontId="9" fillId="0" borderId="0" xfId="0" applyFont="1" applyBorder="1" applyAlignment="1">
      <alignment horizontal="center"/>
    </xf>
    <xf numFmtId="0" fontId="1" fillId="0" borderId="0" xfId="0" applyFont="1"/>
    <xf numFmtId="167" fontId="11" fillId="0" borderId="0" xfId="1" applyNumberFormat="1" applyFont="1" applyBorder="1" applyAlignment="1" applyProtection="1">
      <alignment horizontal="left"/>
      <protection locked="0"/>
    </xf>
    <xf numFmtId="2" fontId="0" fillId="2" borderId="0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Border="1"/>
    <xf numFmtId="0" fontId="3" fillId="0" borderId="9" xfId="0" applyFont="1" applyBorder="1" applyAlignment="1">
      <alignment horizontal="center"/>
    </xf>
    <xf numFmtId="2" fontId="8" fillId="0" borderId="21" xfId="0" applyNumberFormat="1" applyFont="1" applyBorder="1" applyAlignment="1" applyProtection="1">
      <alignment horizontal="center"/>
      <protection locked="0"/>
    </xf>
    <xf numFmtId="2" fontId="8" fillId="0" borderId="0" xfId="1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2" fontId="8" fillId="0" borderId="9" xfId="0" applyNumberFormat="1" applyFont="1" applyBorder="1" applyAlignment="1" applyProtection="1">
      <alignment horizontal="center"/>
      <protection locked="0"/>
    </xf>
    <xf numFmtId="2" fontId="8" fillId="0" borderId="11" xfId="0" applyNumberFormat="1" applyFont="1" applyBorder="1" applyAlignment="1" applyProtection="1">
      <alignment horizontal="center"/>
      <protection locked="0"/>
    </xf>
    <xf numFmtId="167" fontId="1" fillId="0" borderId="0" xfId="1" applyNumberFormat="1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right" indent="1"/>
      <protection locked="0"/>
    </xf>
    <xf numFmtId="2" fontId="0" fillId="0" borderId="0" xfId="0" applyNumberFormat="1"/>
    <xf numFmtId="0" fontId="10" fillId="0" borderId="22" xfId="0" applyFont="1" applyBorder="1" applyAlignment="1" applyProtection="1">
      <alignment horizontal="right"/>
    </xf>
    <xf numFmtId="0" fontId="0" fillId="0" borderId="22" xfId="0" applyBorder="1" applyAlignment="1" applyProtection="1">
      <alignment horizontal="right" indent="1"/>
    </xf>
    <xf numFmtId="2" fontId="12" fillId="0" borderId="22" xfId="0" applyNumberFormat="1" applyFont="1" applyBorder="1" applyAlignment="1" applyProtection="1">
      <alignment horizontal="left" indent="1"/>
    </xf>
    <xf numFmtId="0" fontId="0" fillId="0" borderId="0" xfId="0" applyProtection="1"/>
    <xf numFmtId="0" fontId="10" fillId="0" borderId="22" xfId="0" applyFont="1" applyBorder="1" applyAlignment="1" applyProtection="1">
      <alignment horizontal="left"/>
    </xf>
    <xf numFmtId="0" fontId="12" fillId="0" borderId="22" xfId="0" applyFont="1" applyBorder="1" applyAlignment="1" applyProtection="1">
      <alignment horizontal="left" indent="1"/>
    </xf>
    <xf numFmtId="43" fontId="0" fillId="0" borderId="22" xfId="1" applyFont="1" applyBorder="1" applyAlignment="1" applyProtection="1">
      <alignment horizontal="right" indent="1"/>
    </xf>
    <xf numFmtId="165" fontId="10" fillId="0" borderId="22" xfId="0" applyNumberFormat="1" applyFont="1" applyBorder="1" applyAlignment="1" applyProtection="1">
      <alignment horizontal="left" wrapText="1"/>
    </xf>
    <xf numFmtId="165" fontId="10" fillId="0" borderId="0" xfId="0" applyNumberFormat="1" applyFont="1" applyBorder="1" applyAlignment="1" applyProtection="1">
      <alignment horizontal="left" wrapText="1"/>
    </xf>
    <xf numFmtId="43" fontId="0" fillId="0" borderId="0" xfId="1" applyFont="1" applyBorder="1" applyAlignment="1" applyProtection="1">
      <alignment horizontal="right" indent="1"/>
    </xf>
    <xf numFmtId="2" fontId="12" fillId="0" borderId="0" xfId="0" applyNumberFormat="1" applyFont="1" applyBorder="1" applyAlignment="1" applyProtection="1">
      <alignment horizontal="left" indent="1"/>
    </xf>
    <xf numFmtId="0" fontId="10" fillId="0" borderId="22" xfId="0" applyFont="1" applyBorder="1" applyAlignment="1" applyProtection="1">
      <alignment horizontal="center"/>
    </xf>
    <xf numFmtId="2" fontId="10" fillId="0" borderId="22" xfId="0" applyNumberFormat="1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43" fontId="0" fillId="0" borderId="22" xfId="1" applyFont="1" applyBorder="1" applyProtection="1"/>
    <xf numFmtId="0" fontId="0" fillId="3" borderId="22" xfId="0" applyFill="1" applyBorder="1" applyAlignment="1" applyProtection="1">
      <alignment horizontal="center"/>
    </xf>
    <xf numFmtId="43" fontId="0" fillId="3" borderId="22" xfId="1" applyFont="1" applyFill="1" applyBorder="1" applyProtection="1"/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 applyProtection="1">
      <alignment horizontal="center"/>
    </xf>
    <xf numFmtId="165" fontId="13" fillId="0" borderId="22" xfId="0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4">
    <dxf>
      <font>
        <color theme="0"/>
      </font>
      <border>
        <right/>
        <top/>
        <bottom/>
        <vertical/>
        <horizontal/>
      </border>
    </dxf>
    <dxf>
      <font>
        <strike val="0"/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Fibre relative delay ranges for 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Symbol"/>
              </a:rPr>
              <a:t>l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0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max</a:t>
            </a:r>
          </a:p>
        </c:rich>
      </c:tx>
      <c:layout>
        <c:manualLayout>
          <c:xMode val="edge"/>
          <c:yMode val="edge"/>
          <c:x val="0.19240506329113924"/>
          <c:y val="3.57142857142857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189873417721553"/>
          <c:y val="0.13961038961038971"/>
          <c:w val="0.77468354430379838"/>
          <c:h val="0.65259740259740351"/>
        </c:manualLayout>
      </c:layout>
      <c:scatterChart>
        <c:scatterStyle val="lineMarker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WDM'!$E$27:$E$28</c:f>
              <c:numCache>
                <c:formatCode>0.00</c:formatCode>
                <c:ptCount val="2"/>
                <c:pt idx="0">
                  <c:v>1293.6586605678779</c:v>
                </c:pt>
                <c:pt idx="1">
                  <c:v>1291.8747651469446</c:v>
                </c:pt>
              </c:numCache>
            </c:numRef>
          </c:xVal>
          <c:yVal>
            <c:numRef>
              <c:f>'4 Chan WDM'!$E$35:$E$36</c:f>
              <c:numCache>
                <c:formatCode>0.0</c:formatCode>
                <c:ptCount val="2"/>
                <c:pt idx="0">
                  <c:v>5.4772063232676373</c:v>
                </c:pt>
                <c:pt idx="1">
                  <c:v>6.148775883450071</c:v>
                </c:pt>
              </c:numCache>
            </c:numRef>
          </c:yVal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WDM'!$F$27:$F$28</c:f>
              <c:numCache>
                <c:formatCode>0.00</c:formatCode>
                <c:ptCount val="2"/>
                <c:pt idx="0">
                  <c:v>1298.1400277128259</c:v>
                </c:pt>
                <c:pt idx="1">
                  <c:v>1296.3437602698264</c:v>
                </c:pt>
              </c:numCache>
            </c:numRef>
          </c:xVal>
          <c:yVal>
            <c:numRef>
              <c:f>'4 Chan WDM'!$F$35:$F$36</c:f>
              <c:numCache>
                <c:formatCode>0.0</c:formatCode>
                <c:ptCount val="2"/>
                <c:pt idx="0">
                  <c:v>3.964859136681298</c:v>
                </c:pt>
                <c:pt idx="1">
                  <c:v>4.5411454570403293</c:v>
                </c:pt>
              </c:numCache>
            </c:numRef>
          </c:yVal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WDM'!$G$27:$G$28</c:f>
              <c:numCache>
                <c:formatCode>0.00</c:formatCode>
                <c:ptCount val="2"/>
                <c:pt idx="0">
                  <c:v>1302.6525506213611</c:v>
                </c:pt>
                <c:pt idx="1">
                  <c:v>1300.843782001215</c:v>
                </c:pt>
              </c:numCache>
            </c:numRef>
          </c:xVal>
          <c:yVal>
            <c:numRef>
              <c:f>'4 Chan WDM'!$G$35:$G$36</c:f>
              <c:numCache>
                <c:formatCode>0.0</c:formatCode>
                <c:ptCount val="2"/>
                <c:pt idx="0">
                  <c:v>2.6924213680285902</c:v>
                </c:pt>
                <c:pt idx="1">
                  <c:v>3.1724505810079791</c:v>
                </c:pt>
              </c:numCache>
            </c:numRef>
          </c:yVal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WDM'!$H$27:$H$28</c:f>
              <c:numCache>
                <c:formatCode>0.00</c:formatCode>
                <c:ptCount val="2"/>
                <c:pt idx="0">
                  <c:v>1307.1965553326941</c:v>
                </c:pt>
                <c:pt idx="1">
                  <c:v>1305.3751545763305</c:v>
                </c:pt>
              </c:numCache>
            </c:numRef>
          </c:xVal>
          <c:yVal>
            <c:numRef>
              <c:f>'4 Chan WDM'!$H$35:$H$36</c:f>
              <c:numCache>
                <c:formatCode>0.0</c:formatCode>
                <c:ptCount val="2"/>
                <c:pt idx="0">
                  <c:v>1.6623574317854946</c:v>
                </c:pt>
                <c:pt idx="1">
                  <c:v>2.0451386369140891</c:v>
                </c:pt>
              </c:numCache>
            </c:numRef>
          </c:yVal>
        </c:ser>
        <c:axId val="40140800"/>
        <c:axId val="40143104"/>
      </c:scatterChart>
      <c:valAx>
        <c:axId val="40140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Wavelength (nm)</a:t>
                </a:r>
              </a:p>
            </c:rich>
          </c:tx>
          <c:layout>
            <c:manualLayout>
              <c:xMode val="edge"/>
              <c:yMode val="edge"/>
              <c:x val="0.41772151898734211"/>
              <c:y val="0.8798701298701299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3104"/>
        <c:crosses val="autoZero"/>
        <c:crossBetween val="midCat"/>
      </c:valAx>
      <c:valAx>
        <c:axId val="40143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delay (bits)</a:t>
                </a:r>
              </a:p>
            </c:rich>
          </c:tx>
          <c:layout>
            <c:manualLayout>
              <c:xMode val="edge"/>
              <c:yMode val="edge"/>
              <c:x val="4.3037974683544304E-2"/>
              <c:y val="0.2857142857142861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08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Fibre relative delay ranges for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Symbol"/>
              </a:rPr>
              <a:t> l</a:t>
            </a:r>
            <a:r>
              <a:rPr lang="en-US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0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min</a:t>
            </a:r>
          </a:p>
        </c:rich>
      </c:tx>
      <c:layout>
        <c:manualLayout>
          <c:xMode val="edge"/>
          <c:yMode val="edge"/>
          <c:x val="0.19746835443038002"/>
          <c:y val="3.54839268585037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189873417721553"/>
          <c:y val="0.14516151896660617"/>
          <c:w val="0.77468354430379838"/>
          <c:h val="0.64838811805084162"/>
        </c:manualLayout>
      </c:layout>
      <c:scatterChart>
        <c:scatterStyle val="lineMarker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WDM'!$E$27:$E$28</c:f>
              <c:numCache>
                <c:formatCode>0.00</c:formatCode>
                <c:ptCount val="2"/>
                <c:pt idx="0">
                  <c:v>1293.6586605678779</c:v>
                </c:pt>
                <c:pt idx="1">
                  <c:v>1291.8747651469446</c:v>
                </c:pt>
              </c:numCache>
            </c:numRef>
          </c:xVal>
          <c:yVal>
            <c:numRef>
              <c:f>'4 Chan WDM'!$E$39:$E$40</c:f>
              <c:numCache>
                <c:formatCode>0.0</c:formatCode>
                <c:ptCount val="2"/>
                <c:pt idx="0">
                  <c:v>0.2348827994946987</c:v>
                </c:pt>
                <c:pt idx="1">
                  <c:v>0.38615531494633615</c:v>
                </c:pt>
              </c:numCache>
            </c:numRef>
          </c:yVal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WDM'!$F$27:$F$28</c:f>
              <c:numCache>
                <c:formatCode>0.00</c:formatCode>
                <c:ptCount val="2"/>
                <c:pt idx="0">
                  <c:v>1298.1400277128259</c:v>
                </c:pt>
                <c:pt idx="1">
                  <c:v>1296.3437602698264</c:v>
                </c:pt>
              </c:numCache>
            </c:numRef>
          </c:xVal>
          <c:yVal>
            <c:numRef>
              <c:f>'4 Chan WDM'!$F$39:$F$40</c:f>
              <c:numCache>
                <c:formatCode>0.0</c:formatCode>
                <c:ptCount val="2"/>
                <c:pt idx="0">
                  <c:v>2.0137147270361311E-2</c:v>
                </c:pt>
                <c:pt idx="1">
                  <c:v>7.7921324305862072E-2</c:v>
                </c:pt>
              </c:numCache>
            </c:numRef>
          </c:yVal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WDM'!$G$27:$G$28</c:f>
              <c:numCache>
                <c:formatCode>0.00</c:formatCode>
                <c:ptCount val="2"/>
                <c:pt idx="0">
                  <c:v>1302.6525506213611</c:v>
                </c:pt>
                <c:pt idx="1">
                  <c:v>1300.843782001215</c:v>
                </c:pt>
              </c:numCache>
            </c:numRef>
          </c:xVal>
          <c:yVal>
            <c:numRef>
              <c:f>'4 Chan WDM'!$G$39:$G$40</c:f>
              <c:numCache>
                <c:formatCode>0.0</c:formatCode>
                <c:ptCount val="2"/>
                <c:pt idx="0">
                  <c:v>4.0813659471496067E-2</c:v>
                </c:pt>
                <c:pt idx="1">
                  <c:v>4.1356305318913655E-3</c:v>
                </c:pt>
              </c:numCache>
            </c:numRef>
          </c:yVal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WDM'!$H$27:$H$28</c:f>
              <c:numCache>
                <c:formatCode>0.00</c:formatCode>
                <c:ptCount val="2"/>
                <c:pt idx="0">
                  <c:v>1307.1965553326941</c:v>
                </c:pt>
                <c:pt idx="1">
                  <c:v>1305.3751545763305</c:v>
                </c:pt>
              </c:numCache>
            </c:numRef>
          </c:xVal>
          <c:yVal>
            <c:numRef>
              <c:f>'4 Chan WDM'!$H$39:$H$40</c:f>
              <c:numCache>
                <c:formatCode>0.0</c:formatCode>
                <c:ptCount val="2"/>
                <c:pt idx="0">
                  <c:v>0.29937675056771695</c:v>
                </c:pt>
                <c:pt idx="1">
                  <c:v>0.16724561518367409</c:v>
                </c:pt>
              </c:numCache>
            </c:numRef>
          </c:yVal>
        </c:ser>
        <c:axId val="40186240"/>
        <c:axId val="40188160"/>
      </c:scatterChart>
      <c:valAx>
        <c:axId val="40186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Wavelength (nm)</a:t>
                </a:r>
              </a:p>
            </c:rich>
          </c:tx>
          <c:layout>
            <c:manualLayout>
              <c:xMode val="edge"/>
              <c:yMode val="edge"/>
              <c:x val="0.41772151898734211"/>
              <c:y val="0.8806465483974111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88160"/>
        <c:crosses val="autoZero"/>
        <c:crossBetween val="midCat"/>
      </c:valAx>
      <c:valAx>
        <c:axId val="40188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delay (bits)</a:t>
                </a:r>
              </a:p>
            </c:rich>
          </c:tx>
          <c:layout>
            <c:manualLayout>
              <c:xMode val="edge"/>
              <c:yMode val="edge"/>
              <c:x val="4.3037974683544304E-2"/>
              <c:y val="0.2903230379332128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862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Fibre loss ranges</a:t>
            </a:r>
          </a:p>
        </c:rich>
      </c:tx>
      <c:layout>
        <c:manualLayout>
          <c:xMode val="edge"/>
          <c:yMode val="edge"/>
          <c:x val="0.35949367088607592"/>
          <c:y val="3.57142857142857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506329113924082"/>
          <c:y val="0.13961038961038971"/>
          <c:w val="0.72151898734177211"/>
          <c:h val="0.65259740259740351"/>
        </c:manualLayout>
      </c:layout>
      <c:scatterChart>
        <c:scatterStyle val="lineMarker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WDM'!$E$27:$E$28</c:f>
              <c:numCache>
                <c:formatCode>0.00</c:formatCode>
                <c:ptCount val="2"/>
                <c:pt idx="0">
                  <c:v>1293.6586605678779</c:v>
                </c:pt>
                <c:pt idx="1">
                  <c:v>1291.8747651469446</c:v>
                </c:pt>
              </c:numCache>
            </c:numRef>
          </c:xVal>
          <c:yVal>
            <c:numRef>
              <c:f>'4 Chan WDM'!$E$29:$E$30</c:f>
              <c:numCache>
                <c:formatCode>0.00</c:formatCode>
                <c:ptCount val="2"/>
                <c:pt idx="0">
                  <c:v>8.6870316606996312</c:v>
                </c:pt>
                <c:pt idx="1">
                  <c:v>8.7325011214147708</c:v>
                </c:pt>
              </c:numCache>
            </c:numRef>
          </c:yVal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WDM'!$F$27:$F$28</c:f>
              <c:numCache>
                <c:formatCode>0.00</c:formatCode>
                <c:ptCount val="2"/>
                <c:pt idx="0">
                  <c:v>1298.1400277128259</c:v>
                </c:pt>
                <c:pt idx="1">
                  <c:v>1296.3437602698264</c:v>
                </c:pt>
              </c:numCache>
            </c:numRef>
          </c:xVal>
          <c:yVal>
            <c:numRef>
              <c:f>'4 Chan WDM'!$F$29:$F$30</c:f>
              <c:numCache>
                <c:formatCode>0.00</c:formatCode>
                <c:ptCount val="2"/>
                <c:pt idx="0">
                  <c:v>8.5794235879552616</c:v>
                </c:pt>
                <c:pt idx="1">
                  <c:v>8.6212933033425543</c:v>
                </c:pt>
              </c:numCache>
            </c:numRef>
          </c:yVal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WDM'!$G$27:$G$28</c:f>
              <c:numCache>
                <c:formatCode>0.00</c:formatCode>
                <c:ptCount val="2"/>
                <c:pt idx="0">
                  <c:v>1302.6525506213611</c:v>
                </c:pt>
                <c:pt idx="1">
                  <c:v>1300.843782001215</c:v>
                </c:pt>
              </c:numCache>
            </c:numRef>
          </c:xVal>
          <c:yVal>
            <c:numRef>
              <c:f>'4 Chan WDM'!$G$29:$G$30</c:f>
              <c:numCache>
                <c:formatCode>0.00</c:formatCode>
                <c:ptCount val="2"/>
                <c:pt idx="0">
                  <c:v>8.4831927712252764</c:v>
                </c:pt>
                <c:pt idx="1">
                  <c:v>8.5200984669313584</c:v>
                </c:pt>
              </c:numCache>
            </c:numRef>
          </c:yVal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'4 Chan WDM'!$H$27:$H$28</c:f>
              <c:numCache>
                <c:formatCode>0.00</c:formatCode>
                <c:ptCount val="2"/>
                <c:pt idx="0">
                  <c:v>1307.1965553326941</c:v>
                </c:pt>
                <c:pt idx="1">
                  <c:v>1305.3751545763305</c:v>
                </c:pt>
              </c:numCache>
            </c:numRef>
          </c:xVal>
          <c:yVal>
            <c:numRef>
              <c:f>'4 Chan WDM'!$H$29:$H$30</c:f>
              <c:numCache>
                <c:formatCode>0.00</c:formatCode>
                <c:ptCount val="2"/>
                <c:pt idx="0">
                  <c:v>8.4018470983141924</c:v>
                </c:pt>
                <c:pt idx="1">
                  <c:v>8.4323687653090929</c:v>
                </c:pt>
              </c:numCache>
            </c:numRef>
          </c:yVal>
        </c:ser>
        <c:axId val="40210816"/>
        <c:axId val="40212736"/>
      </c:scatterChart>
      <c:valAx>
        <c:axId val="40210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Wavelength (nm)</a:t>
                </a:r>
              </a:p>
            </c:rich>
          </c:tx>
          <c:layout>
            <c:manualLayout>
              <c:xMode val="edge"/>
              <c:yMode val="edge"/>
              <c:x val="0.44303797468354428"/>
              <c:y val="0.8798701298701299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12736"/>
        <c:crosses val="autoZero"/>
        <c:crossBetween val="midCat"/>
      </c:valAx>
      <c:valAx>
        <c:axId val="40212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Fibre loss (dB)</a:t>
                </a:r>
              </a:p>
            </c:rich>
          </c:tx>
          <c:layout>
            <c:manualLayout>
              <c:xMode val="edge"/>
              <c:yMode val="edge"/>
              <c:x val="4.3037974683544304E-2"/>
              <c:y val="0.32792207792207895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108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772858555721218"/>
          <c:y val="7.8078307052092302E-2"/>
          <c:w val="0.76857908824950383"/>
          <c:h val="0.7147168107076135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Functions!$A$6:$A$42</c:f>
              <c:numCache>
                <c:formatCode>General</c:formatCode>
                <c:ptCount val="37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1310</c:v>
                </c:pt>
                <c:pt idx="6">
                  <c:v>1320</c:v>
                </c:pt>
                <c:pt idx="7">
                  <c:v>1330</c:v>
                </c:pt>
                <c:pt idx="8">
                  <c:v>1340</c:v>
                </c:pt>
                <c:pt idx="9">
                  <c:v>1350</c:v>
                </c:pt>
                <c:pt idx="10">
                  <c:v>1360</c:v>
                </c:pt>
                <c:pt idx="11">
                  <c:v>1370</c:v>
                </c:pt>
                <c:pt idx="12">
                  <c:v>1380</c:v>
                </c:pt>
                <c:pt idx="13">
                  <c:v>1390</c:v>
                </c:pt>
                <c:pt idx="14">
                  <c:v>1400</c:v>
                </c:pt>
                <c:pt idx="15">
                  <c:v>1410</c:v>
                </c:pt>
                <c:pt idx="16">
                  <c:v>1420</c:v>
                </c:pt>
                <c:pt idx="17">
                  <c:v>1430</c:v>
                </c:pt>
                <c:pt idx="18">
                  <c:v>1440</c:v>
                </c:pt>
                <c:pt idx="19">
                  <c:v>1450</c:v>
                </c:pt>
                <c:pt idx="20">
                  <c:v>1460</c:v>
                </c:pt>
                <c:pt idx="21">
                  <c:v>1470</c:v>
                </c:pt>
                <c:pt idx="22">
                  <c:v>1480</c:v>
                </c:pt>
                <c:pt idx="23">
                  <c:v>1490</c:v>
                </c:pt>
                <c:pt idx="24">
                  <c:v>1500</c:v>
                </c:pt>
                <c:pt idx="25">
                  <c:v>1510</c:v>
                </c:pt>
                <c:pt idx="26">
                  <c:v>1520</c:v>
                </c:pt>
                <c:pt idx="27">
                  <c:v>1530</c:v>
                </c:pt>
                <c:pt idx="28">
                  <c:v>1540</c:v>
                </c:pt>
                <c:pt idx="29">
                  <c:v>1550</c:v>
                </c:pt>
                <c:pt idx="30">
                  <c:v>1560</c:v>
                </c:pt>
                <c:pt idx="31">
                  <c:v>1570</c:v>
                </c:pt>
                <c:pt idx="32">
                  <c:v>1580</c:v>
                </c:pt>
                <c:pt idx="33">
                  <c:v>1590</c:v>
                </c:pt>
                <c:pt idx="34">
                  <c:v>1600</c:v>
                </c:pt>
                <c:pt idx="35">
                  <c:v>1610</c:v>
                </c:pt>
                <c:pt idx="36">
                  <c:v>1620</c:v>
                </c:pt>
              </c:numCache>
            </c:numRef>
          </c:xVal>
          <c:yVal>
            <c:numRef>
              <c:f>Functions!$F$6:$F$42</c:f>
              <c:numCache>
                <c:formatCode>General</c:formatCode>
                <c:ptCount val="37"/>
                <c:pt idx="0">
                  <c:v>76.780650037784653</c:v>
                </c:pt>
                <c:pt idx="1">
                  <c:v>42.844420763845847</c:v>
                </c:pt>
                <c:pt idx="2">
                  <c:v>18.891760253907705</c:v>
                </c:pt>
                <c:pt idx="3">
                  <c:v>4.686116369208321</c:v>
                </c:pt>
                <c:pt idx="4">
                  <c:v>0</c:v>
                </c:pt>
                <c:pt idx="5">
                  <c:v>4.6145715575985378</c:v>
                </c:pt>
                <c:pt idx="6">
                  <c:v>18.319249311301974</c:v>
                </c:pt>
                <c:pt idx="7">
                  <c:v>40.911338261066703</c:v>
                </c:pt>
                <c:pt idx="8">
                  <c:v>72.195678324795153</c:v>
                </c:pt>
                <c:pt idx="9">
                  <c:v>111.98431069959042</c:v>
                </c:pt>
                <c:pt idx="10">
                  <c:v>160.09616133217787</c:v>
                </c:pt>
                <c:pt idx="11">
                  <c:v>216.35674050296075</c:v>
                </c:pt>
                <c:pt idx="12">
                  <c:v>280.59785759294755</c:v>
                </c:pt>
                <c:pt idx="13">
                  <c:v>352.6573501630337</c:v>
                </c:pt>
                <c:pt idx="14">
                  <c:v>432.3788265306066</c:v>
                </c:pt>
                <c:pt idx="15">
                  <c:v>519.61142108042986</c:v>
                </c:pt>
                <c:pt idx="16">
                  <c:v>614.20956159492198</c:v>
                </c:pt>
                <c:pt idx="17">
                  <c:v>716.03274793388846</c:v>
                </c:pt>
                <c:pt idx="18">
                  <c:v>824.94534143518104</c:v>
                </c:pt>
                <c:pt idx="19">
                  <c:v>940.8163644470842</c:v>
                </c:pt>
                <c:pt idx="20">
                  <c:v>1063.5193094389178</c:v>
                </c:pt>
                <c:pt idx="21">
                  <c:v>1192.9319571706292</c:v>
                </c:pt>
                <c:pt idx="22">
                  <c:v>1328.9362034331643</c:v>
                </c:pt>
                <c:pt idx="23">
                  <c:v>1471.417893901169</c:v>
                </c:pt>
                <c:pt idx="24">
                  <c:v>1620.2666666666701</c:v>
                </c:pt>
                <c:pt idx="25">
                  <c:v>1775.3758020481546</c:v>
                </c:pt>
                <c:pt idx="26">
                  <c:v>1936.6420792936333</c:v>
                </c:pt>
                <c:pt idx="27">
                  <c:v>2103.9656398180232</c:v>
                </c:pt>
                <c:pt idx="28">
                  <c:v>2277.249856636874</c:v>
                </c:pt>
                <c:pt idx="29">
                  <c:v>2456.401209677424</c:v>
                </c:pt>
                <c:pt idx="30">
                  <c:v>2641.3291666666701</c:v>
                </c:pt>
                <c:pt idx="31">
                  <c:v>2831.9460693131623</c:v>
                </c:pt>
                <c:pt idx="32">
                  <c:v>3028.1670245153</c:v>
                </c:pt>
                <c:pt idx="33">
                  <c:v>3229.9098003441322</c:v>
                </c:pt>
                <c:pt idx="34">
                  <c:v>3437.0947265625</c:v>
                </c:pt>
                <c:pt idx="35">
                  <c:v>3649.6445994560345</c:v>
                </c:pt>
                <c:pt idx="36">
                  <c:v>3867.4845907636045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Functions!$A$6:$A$42</c:f>
              <c:numCache>
                <c:formatCode>General</c:formatCode>
                <c:ptCount val="37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1310</c:v>
                </c:pt>
                <c:pt idx="6">
                  <c:v>1320</c:v>
                </c:pt>
                <c:pt idx="7">
                  <c:v>1330</c:v>
                </c:pt>
                <c:pt idx="8">
                  <c:v>1340</c:v>
                </c:pt>
                <c:pt idx="9">
                  <c:v>1350</c:v>
                </c:pt>
                <c:pt idx="10">
                  <c:v>1360</c:v>
                </c:pt>
                <c:pt idx="11">
                  <c:v>1370</c:v>
                </c:pt>
                <c:pt idx="12">
                  <c:v>1380</c:v>
                </c:pt>
                <c:pt idx="13">
                  <c:v>1390</c:v>
                </c:pt>
                <c:pt idx="14">
                  <c:v>1400</c:v>
                </c:pt>
                <c:pt idx="15">
                  <c:v>1410</c:v>
                </c:pt>
                <c:pt idx="16">
                  <c:v>1420</c:v>
                </c:pt>
                <c:pt idx="17">
                  <c:v>1430</c:v>
                </c:pt>
                <c:pt idx="18">
                  <c:v>1440</c:v>
                </c:pt>
                <c:pt idx="19">
                  <c:v>1450</c:v>
                </c:pt>
                <c:pt idx="20">
                  <c:v>1460</c:v>
                </c:pt>
                <c:pt idx="21">
                  <c:v>1470</c:v>
                </c:pt>
                <c:pt idx="22">
                  <c:v>1480</c:v>
                </c:pt>
                <c:pt idx="23">
                  <c:v>1490</c:v>
                </c:pt>
                <c:pt idx="24">
                  <c:v>1500</c:v>
                </c:pt>
                <c:pt idx="25">
                  <c:v>1510</c:v>
                </c:pt>
                <c:pt idx="26">
                  <c:v>1520</c:v>
                </c:pt>
                <c:pt idx="27">
                  <c:v>1530</c:v>
                </c:pt>
                <c:pt idx="28">
                  <c:v>1540</c:v>
                </c:pt>
                <c:pt idx="29">
                  <c:v>1550</c:v>
                </c:pt>
                <c:pt idx="30">
                  <c:v>1560</c:v>
                </c:pt>
                <c:pt idx="31">
                  <c:v>1570</c:v>
                </c:pt>
                <c:pt idx="32">
                  <c:v>1580</c:v>
                </c:pt>
                <c:pt idx="33">
                  <c:v>1590</c:v>
                </c:pt>
                <c:pt idx="34">
                  <c:v>1600</c:v>
                </c:pt>
                <c:pt idx="35">
                  <c:v>1610</c:v>
                </c:pt>
                <c:pt idx="36">
                  <c:v>1620</c:v>
                </c:pt>
              </c:numCache>
            </c:numRef>
          </c:xVal>
          <c:yVal>
            <c:numRef>
              <c:f>Functions!$G$6:$G$42</c:f>
              <c:numCache>
                <c:formatCode>General</c:formatCode>
                <c:ptCount val="37"/>
                <c:pt idx="0">
                  <c:v>200.26121094481641</c:v>
                </c:pt>
                <c:pt idx="1">
                  <c:v>141.42070007192524</c:v>
                </c:pt>
                <c:pt idx="2">
                  <c:v>93.145169003902993</c:v>
                </c:pt>
                <c:pt idx="3">
                  <c:v>55.180107413005317</c:v>
                </c:pt>
                <c:pt idx="4">
                  <c:v>27.280756033134821</c:v>
                </c:pt>
                <c:pt idx="5">
                  <c:v>9.2116617598003359</c:v>
                </c:pt>
                <c:pt idx="6">
                  <c:v>0.74625625344197033</c:v>
                </c:pt>
                <c:pt idx="7">
                  <c:v>1.6664566374602146</c:v>
                </c:pt>
                <c:pt idx="8">
                  <c:v>11.762286977049371</c:v>
                </c:pt>
                <c:pt idx="9">
                  <c:v>30.831519311934244</c:v>
                </c:pt>
                <c:pt idx="10">
                  <c:v>58.679333096879418</c:v>
                </c:pt>
                <c:pt idx="11">
                  <c:v>95.117991979328508</c:v>
                </c:pt>
                <c:pt idx="12">
                  <c:v>139.96653691241227</c:v>
                </c:pt>
                <c:pt idx="13">
                  <c:v>193.0504946669389</c:v>
                </c:pt>
                <c:pt idx="14">
                  <c:v>254.20160086530086</c:v>
                </c:pt>
                <c:pt idx="15">
                  <c:v>323.25753671645361</c:v>
                </c:pt>
                <c:pt idx="16">
                  <c:v>400.0616786827959</c:v>
                </c:pt>
                <c:pt idx="17">
                  <c:v>484.4628603579622</c:v>
                </c:pt>
                <c:pt idx="18">
                  <c:v>576.31514587962738</c:v>
                </c:pt>
                <c:pt idx="19">
                  <c:v>675.4776142430419</c:v>
                </c:pt>
                <c:pt idx="20">
                  <c:v>781.81415392005874</c:v>
                </c:pt>
                <c:pt idx="21">
                  <c:v>895.19326722476399</c:v>
                </c:pt>
                <c:pt idx="22">
                  <c:v>1015.4878839006633</c:v>
                </c:pt>
                <c:pt idx="23">
                  <c:v>1142.5751834358744</c:v>
                </c:pt>
                <c:pt idx="24">
                  <c:v>1276.3364256426648</c:v>
                </c:pt>
                <c:pt idx="25">
                  <c:v>1416.6567890645092</c:v>
                </c:pt>
                <c:pt idx="26">
                  <c:v>1563.4252168005551</c:v>
                </c:pt>
                <c:pt idx="27">
                  <c:v>1716.5342693605053</c:v>
                </c:pt>
                <c:pt idx="28">
                  <c:v>1875.8799841861983</c:v>
                </c:pt>
                <c:pt idx="29">
                  <c:v>2041.3617414967739</c:v>
                </c:pt>
                <c:pt idx="30">
                  <c:v>2212.8821361341179</c:v>
                </c:pt>
                <c:pt idx="31">
                  <c:v>2390.3468551040569</c:v>
                </c:pt>
                <c:pt idx="32">
                  <c:v>2573.6645605255617</c:v>
                </c:pt>
                <c:pt idx="33">
                  <c:v>2762.7467777168567</c:v>
                </c:pt>
                <c:pt idx="34">
                  <c:v>2957.5077881624966</c:v>
                </c:pt>
                <c:pt idx="35">
                  <c:v>3157.8645271193236</c:v>
                </c:pt>
                <c:pt idx="36">
                  <c:v>3363.7364856332861</c:v>
                </c:pt>
              </c:numCache>
            </c:numRef>
          </c:yVal>
          <c:smooth val="1"/>
        </c:ser>
        <c:axId val="40324096"/>
        <c:axId val="40338560"/>
      </c:scatterChart>
      <c:valAx>
        <c:axId val="40324096"/>
        <c:scaling>
          <c:orientation val="minMax"/>
          <c:max val="1650"/>
          <c:min val="12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Wavelength 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0.42250618387196476"/>
              <c:y val="0.885888483860277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38560"/>
        <c:crosses val="autoZero"/>
        <c:crossBetween val="midCat"/>
        <c:majorUnit val="50"/>
      </c:valAx>
      <c:valAx>
        <c:axId val="403385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delay (ps/km)</a:t>
                </a:r>
              </a:p>
            </c:rich>
          </c:tx>
          <c:layout>
            <c:manualLayout>
              <c:xMode val="edge"/>
              <c:yMode val="edge"/>
              <c:x val="3.3970346441967024E-2"/>
              <c:y val="0.2192198621077979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240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437397237835967"/>
          <c:y val="8.4084330671484131E-2"/>
          <c:w val="0.78981055477573159"/>
          <c:h val="0.7177198225173107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Functions!$A$6:$A$42</c:f>
              <c:numCache>
                <c:formatCode>General</c:formatCode>
                <c:ptCount val="37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1310</c:v>
                </c:pt>
                <c:pt idx="6">
                  <c:v>1320</c:v>
                </c:pt>
                <c:pt idx="7">
                  <c:v>1330</c:v>
                </c:pt>
                <c:pt idx="8">
                  <c:v>1340</c:v>
                </c:pt>
                <c:pt idx="9">
                  <c:v>1350</c:v>
                </c:pt>
                <c:pt idx="10">
                  <c:v>1360</c:v>
                </c:pt>
                <c:pt idx="11">
                  <c:v>1370</c:v>
                </c:pt>
                <c:pt idx="12">
                  <c:v>1380</c:v>
                </c:pt>
                <c:pt idx="13">
                  <c:v>1390</c:v>
                </c:pt>
                <c:pt idx="14">
                  <c:v>1400</c:v>
                </c:pt>
                <c:pt idx="15">
                  <c:v>1410</c:v>
                </c:pt>
                <c:pt idx="16">
                  <c:v>1420</c:v>
                </c:pt>
                <c:pt idx="17">
                  <c:v>1430</c:v>
                </c:pt>
                <c:pt idx="18">
                  <c:v>1440</c:v>
                </c:pt>
                <c:pt idx="19">
                  <c:v>1450</c:v>
                </c:pt>
                <c:pt idx="20">
                  <c:v>1460</c:v>
                </c:pt>
                <c:pt idx="21">
                  <c:v>1470</c:v>
                </c:pt>
                <c:pt idx="22">
                  <c:v>1480</c:v>
                </c:pt>
                <c:pt idx="23">
                  <c:v>1490</c:v>
                </c:pt>
                <c:pt idx="24">
                  <c:v>1500</c:v>
                </c:pt>
                <c:pt idx="25">
                  <c:v>1510</c:v>
                </c:pt>
                <c:pt idx="26">
                  <c:v>1520</c:v>
                </c:pt>
                <c:pt idx="27">
                  <c:v>1530</c:v>
                </c:pt>
                <c:pt idx="28">
                  <c:v>1540</c:v>
                </c:pt>
                <c:pt idx="29">
                  <c:v>1550</c:v>
                </c:pt>
                <c:pt idx="30">
                  <c:v>1560</c:v>
                </c:pt>
                <c:pt idx="31">
                  <c:v>1570</c:v>
                </c:pt>
                <c:pt idx="32">
                  <c:v>1580</c:v>
                </c:pt>
                <c:pt idx="33">
                  <c:v>1590</c:v>
                </c:pt>
                <c:pt idx="34">
                  <c:v>1600</c:v>
                </c:pt>
                <c:pt idx="35">
                  <c:v>1610</c:v>
                </c:pt>
                <c:pt idx="36">
                  <c:v>1620</c:v>
                </c:pt>
              </c:numCache>
            </c:numRef>
          </c:xVal>
          <c:yVal>
            <c:numRef>
              <c:f>Functions!$D$6:$D$42</c:f>
              <c:numCache>
                <c:formatCode>General</c:formatCode>
                <c:ptCount val="37"/>
                <c:pt idx="0">
                  <c:v>-3.9009216667266546</c:v>
                </c:pt>
                <c:pt idx="1">
                  <c:v>-2.8904242846674655</c:v>
                </c:pt>
                <c:pt idx="2">
                  <c:v>-1.9040496253967285</c:v>
                </c:pt>
                <c:pt idx="3">
                  <c:v>-0.94086994785923939</c:v>
                </c:pt>
                <c:pt idx="4">
                  <c:v>0</c:v>
                </c:pt>
                <c:pt idx="5">
                  <c:v>0.91940523426320531</c:v>
                </c:pt>
                <c:pt idx="6">
                  <c:v>1.8181526525586442</c:v>
                </c:pt>
                <c:pt idx="7">
                  <c:v>2.69701302517133</c:v>
                </c:pt>
                <c:pt idx="8">
                  <c:v>3.5567228681719469</c:v>
                </c:pt>
                <c:pt idx="9">
                  <c:v>4.3979862063709794</c:v>
                </c:pt>
                <c:pt idx="10">
                  <c:v>5.2214762333350286</c:v>
                </c:pt>
                <c:pt idx="11">
                  <c:v>6.027836875178167</c:v>
                </c:pt>
                <c:pt idx="12">
                  <c:v>6.8176842643580562</c:v>
                </c:pt>
                <c:pt idx="13">
                  <c:v>7.5916081292618216</c:v>
                </c:pt>
                <c:pt idx="14">
                  <c:v>8.3501731049562675</c:v>
                </c:pt>
                <c:pt idx="15">
                  <c:v>9.0939199700986837</c:v>
                </c:pt>
                <c:pt idx="16">
                  <c:v>9.8233668146550404</c:v>
                </c:pt>
                <c:pt idx="17">
                  <c:v>10.539010142749813</c:v>
                </c:pt>
                <c:pt idx="18">
                  <c:v>11.241325914673354</c:v>
                </c:pt>
                <c:pt idx="19">
                  <c:v>11.930770531797121</c:v>
                </c:pt>
                <c:pt idx="20">
                  <c:v>12.607781767891892</c:v>
                </c:pt>
                <c:pt idx="21">
                  <c:v>13.272779650107996</c:v>
                </c:pt>
                <c:pt idx="22">
                  <c:v>13.926167292657887</c:v>
                </c:pt>
                <c:pt idx="23">
                  <c:v>14.568331686038691</c:v>
                </c:pt>
                <c:pt idx="24">
                  <c:v>15.199644444444445</c:v>
                </c:pt>
                <c:pt idx="25">
                  <c:v>15.8204625138435</c:v>
                </c:pt>
                <c:pt idx="26">
                  <c:v>16.431128843034699</c:v>
                </c:pt>
                <c:pt idx="27">
                  <c:v>17.031973019845726</c:v>
                </c:pt>
                <c:pt idx="28">
                  <c:v>17.623311874497574</c:v>
                </c:pt>
                <c:pt idx="29">
                  <c:v>18.205450052029139</c:v>
                </c:pt>
                <c:pt idx="30">
                  <c:v>18.778680555555557</c:v>
                </c:pt>
                <c:pt idx="31">
                  <c:v>19.343285262021457</c:v>
                </c:pt>
                <c:pt idx="32">
                  <c:v>19.899535412005946</c:v>
                </c:pt>
                <c:pt idx="33">
                  <c:v>20.447692075038827</c:v>
                </c:pt>
                <c:pt idx="34">
                  <c:v>20.988006591796875</c:v>
                </c:pt>
                <c:pt idx="35">
                  <c:v>21.520720994464547</c:v>
                </c:pt>
                <c:pt idx="36">
                  <c:v>22.046068406464688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Functions!$A$6:$A$42</c:f>
              <c:numCache>
                <c:formatCode>General</c:formatCode>
                <c:ptCount val="37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1310</c:v>
                </c:pt>
                <c:pt idx="6">
                  <c:v>1320</c:v>
                </c:pt>
                <c:pt idx="7">
                  <c:v>1330</c:v>
                </c:pt>
                <c:pt idx="8">
                  <c:v>1340</c:v>
                </c:pt>
                <c:pt idx="9">
                  <c:v>1350</c:v>
                </c:pt>
                <c:pt idx="10">
                  <c:v>1360</c:v>
                </c:pt>
                <c:pt idx="11">
                  <c:v>1370</c:v>
                </c:pt>
                <c:pt idx="12">
                  <c:v>1380</c:v>
                </c:pt>
                <c:pt idx="13">
                  <c:v>1390</c:v>
                </c:pt>
                <c:pt idx="14">
                  <c:v>1400</c:v>
                </c:pt>
                <c:pt idx="15">
                  <c:v>1410</c:v>
                </c:pt>
                <c:pt idx="16">
                  <c:v>1420</c:v>
                </c:pt>
                <c:pt idx="17">
                  <c:v>1430</c:v>
                </c:pt>
                <c:pt idx="18">
                  <c:v>1440</c:v>
                </c:pt>
                <c:pt idx="19">
                  <c:v>1450</c:v>
                </c:pt>
                <c:pt idx="20">
                  <c:v>1460</c:v>
                </c:pt>
                <c:pt idx="21">
                  <c:v>1470</c:v>
                </c:pt>
                <c:pt idx="22">
                  <c:v>1480</c:v>
                </c:pt>
                <c:pt idx="23">
                  <c:v>1490</c:v>
                </c:pt>
                <c:pt idx="24">
                  <c:v>1500</c:v>
                </c:pt>
                <c:pt idx="25">
                  <c:v>1510</c:v>
                </c:pt>
                <c:pt idx="26">
                  <c:v>1520</c:v>
                </c:pt>
                <c:pt idx="27">
                  <c:v>1530</c:v>
                </c:pt>
                <c:pt idx="28">
                  <c:v>1540</c:v>
                </c:pt>
                <c:pt idx="29">
                  <c:v>1550</c:v>
                </c:pt>
                <c:pt idx="30">
                  <c:v>1560</c:v>
                </c:pt>
                <c:pt idx="31">
                  <c:v>1570</c:v>
                </c:pt>
                <c:pt idx="32">
                  <c:v>1580</c:v>
                </c:pt>
                <c:pt idx="33">
                  <c:v>1590</c:v>
                </c:pt>
                <c:pt idx="34">
                  <c:v>1600</c:v>
                </c:pt>
                <c:pt idx="35">
                  <c:v>1610</c:v>
                </c:pt>
                <c:pt idx="36">
                  <c:v>1620</c:v>
                </c:pt>
              </c:numCache>
            </c:numRef>
          </c:xVal>
          <c:yVal>
            <c:numRef>
              <c:f>Functions!$E$6:$E$42</c:f>
              <c:numCache>
                <c:formatCode>General</c:formatCode>
                <c:ptCount val="37"/>
                <c:pt idx="0">
                  <c:v>-6.4210368427695608</c:v>
                </c:pt>
                <c:pt idx="1">
                  <c:v>-5.351476693026644</c:v>
                </c:pt>
                <c:pt idx="2">
                  <c:v>-4.3078705765686056</c:v>
                </c:pt>
                <c:pt idx="3">
                  <c:v>-3.2892203215705691</c:v>
                </c:pt>
                <c:pt idx="4">
                  <c:v>-2.2945734708202075</c:v>
                </c:pt>
                <c:pt idx="5">
                  <c:v>-1.3230208576485569</c:v>
                </c:pt>
                <c:pt idx="6">
                  <c:v>-0.37369432765673111</c:v>
                </c:pt>
                <c:pt idx="7">
                  <c:v>0.55423540355269418</c:v>
                </c:pt>
                <c:pt idx="8">
                  <c:v>1.461560765705888</c:v>
                </c:pt>
                <c:pt idx="9">
                  <c:v>2.3490392306489882</c:v>
                </c:pt>
                <c:pt idx="10">
                  <c:v>3.2173950983869299</c:v>
                </c:pt>
                <c:pt idx="11">
                  <c:v>4.0673211795922208</c:v>
                </c:pt>
                <c:pt idx="12">
                  <c:v>4.8994803812863577</c:v>
                </c:pt>
                <c:pt idx="13">
                  <c:v>5.7145072019180683</c:v>
                </c:pt>
                <c:pt idx="14">
                  <c:v>6.513009141620989</c:v>
                </c:pt>
                <c:pt idx="15">
                  <c:v>7.295568033026294</c:v>
                </c:pt>
                <c:pt idx="16">
                  <c:v>8.0627412976298558</c:v>
                </c:pt>
                <c:pt idx="17">
                  <c:v>8.8150631323664861</c:v>
                </c:pt>
                <c:pt idx="18">
                  <c:v>9.5530456307227372</c:v>
                </c:pt>
                <c:pt idx="19">
                  <c:v>10.277179842423386</c:v>
                </c:pt>
                <c:pt idx="20">
                  <c:v>10.987936775451972</c:v>
                </c:pt>
                <c:pt idx="21">
                  <c:v>11.685768343911882</c:v>
                </c:pt>
                <c:pt idx="22">
                  <c:v>12.371108264999112</c:v>
                </c:pt>
                <c:pt idx="23">
                  <c:v>13.044372908139756</c:v>
                </c:pt>
                <c:pt idx="24">
                  <c:v>13.705962099143113</c:v>
                </c:pt>
                <c:pt idx="25">
                  <c:v>14.356259882033756</c:v>
                </c:pt>
                <c:pt idx="26">
                  <c:v>14.995635241051902</c:v>
                </c:pt>
                <c:pt idx="27">
                  <c:v>15.62444278514967</c:v>
                </c:pt>
                <c:pt idx="28">
                  <c:v>16.243023397160776</c:v>
                </c:pt>
                <c:pt idx="29">
                  <c:v>16.851704849681582</c:v>
                </c:pt>
                <c:pt idx="30">
                  <c:v>17.450802389571638</c:v>
                </c:pt>
                <c:pt idx="31">
                  <c:v>18.04061929286107</c:v>
                </c:pt>
                <c:pt idx="32">
                  <c:v>18.621447391739803</c:v>
                </c:pt>
                <c:pt idx="33">
                  <c:v>19.193567575198916</c:v>
                </c:pt>
                <c:pt idx="34">
                  <c:v>19.757250264796877</c:v>
                </c:pt>
                <c:pt idx="35">
                  <c:v>20.312755866932516</c:v>
                </c:pt>
                <c:pt idx="36">
                  <c:v>20.860335202921867</c:v>
                </c:pt>
              </c:numCache>
            </c:numRef>
          </c:yVal>
          <c:smooth val="1"/>
        </c:ser>
        <c:axId val="40473728"/>
        <c:axId val="40475648"/>
      </c:scatterChart>
      <c:valAx>
        <c:axId val="40473728"/>
        <c:scaling>
          <c:orientation val="minMax"/>
          <c:max val="1650"/>
          <c:min val="12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Wavelength 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0.40976730395622668"/>
              <c:y val="0.894897519289365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475648"/>
        <c:crossesAt val="-10"/>
        <c:crossBetween val="midCat"/>
        <c:majorUnit val="50"/>
      </c:valAx>
      <c:valAx>
        <c:axId val="40475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Dispersion D (ps/nm.km)</a:t>
                </a:r>
              </a:p>
            </c:rich>
          </c:tx>
          <c:layout>
            <c:manualLayout>
              <c:xMode val="edge"/>
              <c:yMode val="edge"/>
              <c:x val="3.184719978934409E-2"/>
              <c:y val="0.2042048030593182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4737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862026568360537"/>
          <c:y val="0.12012047238783444"/>
          <c:w val="0.78556426147048641"/>
          <c:h val="0.66967163356217863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Functions!$A$6:$A$42</c:f>
              <c:numCache>
                <c:formatCode>General</c:formatCode>
                <c:ptCount val="37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1310</c:v>
                </c:pt>
                <c:pt idx="6">
                  <c:v>1320</c:v>
                </c:pt>
                <c:pt idx="7">
                  <c:v>1330</c:v>
                </c:pt>
                <c:pt idx="8">
                  <c:v>1340</c:v>
                </c:pt>
                <c:pt idx="9">
                  <c:v>1350</c:v>
                </c:pt>
                <c:pt idx="10">
                  <c:v>1360</c:v>
                </c:pt>
                <c:pt idx="11">
                  <c:v>1370</c:v>
                </c:pt>
                <c:pt idx="12">
                  <c:v>1380</c:v>
                </c:pt>
                <c:pt idx="13">
                  <c:v>1390</c:v>
                </c:pt>
                <c:pt idx="14">
                  <c:v>1400</c:v>
                </c:pt>
                <c:pt idx="15">
                  <c:v>1410</c:v>
                </c:pt>
                <c:pt idx="16">
                  <c:v>1420</c:v>
                </c:pt>
                <c:pt idx="17">
                  <c:v>1430</c:v>
                </c:pt>
                <c:pt idx="18">
                  <c:v>1440</c:v>
                </c:pt>
                <c:pt idx="19">
                  <c:v>1450</c:v>
                </c:pt>
                <c:pt idx="20">
                  <c:v>1460</c:v>
                </c:pt>
                <c:pt idx="21">
                  <c:v>1470</c:v>
                </c:pt>
                <c:pt idx="22">
                  <c:v>1480</c:v>
                </c:pt>
                <c:pt idx="23">
                  <c:v>1490</c:v>
                </c:pt>
                <c:pt idx="24">
                  <c:v>1500</c:v>
                </c:pt>
                <c:pt idx="25">
                  <c:v>1510</c:v>
                </c:pt>
                <c:pt idx="26">
                  <c:v>1520</c:v>
                </c:pt>
                <c:pt idx="27">
                  <c:v>1530</c:v>
                </c:pt>
                <c:pt idx="28">
                  <c:v>1540</c:v>
                </c:pt>
                <c:pt idx="29">
                  <c:v>1550</c:v>
                </c:pt>
                <c:pt idx="30">
                  <c:v>1560</c:v>
                </c:pt>
                <c:pt idx="31">
                  <c:v>1570</c:v>
                </c:pt>
                <c:pt idx="32">
                  <c:v>1580</c:v>
                </c:pt>
                <c:pt idx="33">
                  <c:v>1590</c:v>
                </c:pt>
                <c:pt idx="34">
                  <c:v>1600</c:v>
                </c:pt>
                <c:pt idx="35">
                  <c:v>1610</c:v>
                </c:pt>
                <c:pt idx="36">
                  <c:v>1620</c:v>
                </c:pt>
              </c:numCache>
            </c:numRef>
          </c:xVal>
          <c:yVal>
            <c:numRef>
              <c:f>Functions!$B$6:$B$42</c:f>
              <c:numCache>
                <c:formatCode>0.000</c:formatCode>
                <c:ptCount val="37"/>
                <c:pt idx="0">
                  <c:v>0.4779123207996463</c:v>
                </c:pt>
                <c:pt idx="1">
                  <c:v>0.46633867890011516</c:v>
                </c:pt>
                <c:pt idx="2">
                  <c:v>0.45280876159984018</c:v>
                </c:pt>
                <c:pt idx="3">
                  <c:v>0.43907881869984067</c:v>
                </c:pt>
                <c:pt idx="4">
                  <c:v>0.42690509999977166</c:v>
                </c:pt>
                <c:pt idx="5">
                  <c:v>0.41804385529974297</c:v>
                </c:pt>
                <c:pt idx="6">
                  <c:v>0.41425133439963702</c:v>
                </c:pt>
                <c:pt idx="7">
                  <c:v>0.41728378710001834</c:v>
                </c:pt>
                <c:pt idx="8">
                  <c:v>0.42889746319985989</c:v>
                </c:pt>
                <c:pt idx="9">
                  <c:v>0.45084861249972619</c:v>
                </c:pt>
                <c:pt idx="10">
                  <c:v>0.48489348479995442</c:v>
                </c:pt>
                <c:pt idx="16">
                  <c:v>0.45683921916725012</c:v>
                </c:pt>
                <c:pt idx="17">
                  <c:v>0.41437054554035058</c:v>
                </c:pt>
                <c:pt idx="18">
                  <c:v>0.38057442864692348</c:v>
                </c:pt>
                <c:pt idx="19">
                  <c:v>0.35407990056182825</c:v>
                </c:pt>
                <c:pt idx="20">
                  <c:v>0.33363948850956149</c:v>
                </c:pt>
                <c:pt idx="21">
                  <c:v>0.31812921485061452</c:v>
                </c:pt>
                <c:pt idx="22">
                  <c:v>0.30654859709602533</c:v>
                </c:pt>
                <c:pt idx="23">
                  <c:v>0.29802064788191274</c:v>
                </c:pt>
                <c:pt idx="24">
                  <c:v>0.29179187500039916</c:v>
                </c:pt>
                <c:pt idx="25">
                  <c:v>0.28723228138142076</c:v>
                </c:pt>
                <c:pt idx="26">
                  <c:v>0.28383536509454643</c:v>
                </c:pt>
                <c:pt idx="27">
                  <c:v>0.28121811934897778</c:v>
                </c:pt>
                <c:pt idx="28">
                  <c:v>0.27912103250992004</c:v>
                </c:pt>
                <c:pt idx="29">
                  <c:v>0.2774080880622023</c:v>
                </c:pt>
                <c:pt idx="30">
                  <c:v>0.27606676464665725</c:v>
                </c:pt>
                <c:pt idx="31">
                  <c:v>0.27520803604193134</c:v>
                </c:pt>
                <c:pt idx="32">
                  <c:v>0.27506637116812271</c:v>
                </c:pt>
                <c:pt idx="33">
                  <c:v>0.27599973408314327</c:v>
                </c:pt>
                <c:pt idx="34">
                  <c:v>0.27848958400090851</c:v>
                </c:pt>
                <c:pt idx="35">
                  <c:v>0.28314087525495779</c:v>
                </c:pt>
                <c:pt idx="36">
                  <c:v>0.29068205734392905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Functions!$A$6:$A$42</c:f>
              <c:numCache>
                <c:formatCode>General</c:formatCode>
                <c:ptCount val="37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1310</c:v>
                </c:pt>
                <c:pt idx="6">
                  <c:v>1320</c:v>
                </c:pt>
                <c:pt idx="7">
                  <c:v>1330</c:v>
                </c:pt>
                <c:pt idx="8">
                  <c:v>1340</c:v>
                </c:pt>
                <c:pt idx="9">
                  <c:v>1350</c:v>
                </c:pt>
                <c:pt idx="10">
                  <c:v>1360</c:v>
                </c:pt>
                <c:pt idx="11">
                  <c:v>1370</c:v>
                </c:pt>
                <c:pt idx="12">
                  <c:v>1380</c:v>
                </c:pt>
                <c:pt idx="13">
                  <c:v>1390</c:v>
                </c:pt>
                <c:pt idx="14">
                  <c:v>1400</c:v>
                </c:pt>
                <c:pt idx="15">
                  <c:v>1410</c:v>
                </c:pt>
                <c:pt idx="16">
                  <c:v>1420</c:v>
                </c:pt>
                <c:pt idx="17">
                  <c:v>1430</c:v>
                </c:pt>
                <c:pt idx="18">
                  <c:v>1440</c:v>
                </c:pt>
                <c:pt idx="19">
                  <c:v>1450</c:v>
                </c:pt>
                <c:pt idx="20">
                  <c:v>1460</c:v>
                </c:pt>
                <c:pt idx="21">
                  <c:v>1470</c:v>
                </c:pt>
                <c:pt idx="22">
                  <c:v>1480</c:v>
                </c:pt>
                <c:pt idx="23">
                  <c:v>1490</c:v>
                </c:pt>
                <c:pt idx="24">
                  <c:v>1500</c:v>
                </c:pt>
                <c:pt idx="25">
                  <c:v>1510</c:v>
                </c:pt>
                <c:pt idx="26">
                  <c:v>1520</c:v>
                </c:pt>
                <c:pt idx="27">
                  <c:v>1530</c:v>
                </c:pt>
                <c:pt idx="28">
                  <c:v>1540</c:v>
                </c:pt>
                <c:pt idx="29">
                  <c:v>1550</c:v>
                </c:pt>
                <c:pt idx="30">
                  <c:v>1560</c:v>
                </c:pt>
                <c:pt idx="31">
                  <c:v>1570</c:v>
                </c:pt>
                <c:pt idx="32">
                  <c:v>1580</c:v>
                </c:pt>
                <c:pt idx="33">
                  <c:v>1590</c:v>
                </c:pt>
                <c:pt idx="34">
                  <c:v>1600</c:v>
                </c:pt>
                <c:pt idx="35">
                  <c:v>1610</c:v>
                </c:pt>
                <c:pt idx="36">
                  <c:v>1620</c:v>
                </c:pt>
              </c:numCache>
            </c:numRef>
          </c:xVal>
          <c:yVal>
            <c:numRef>
              <c:f>Functions!$C$6:$C$42</c:f>
              <c:numCache>
                <c:formatCode>0.000</c:formatCode>
                <c:ptCount val="37"/>
                <c:pt idx="0">
                  <c:v>0.47812408980098553</c:v>
                </c:pt>
                <c:pt idx="1">
                  <c:v>0.45970512280473486</c:v>
                </c:pt>
                <c:pt idx="2">
                  <c:v>0.44575038173934445</c:v>
                </c:pt>
                <c:pt idx="3">
                  <c:v>0.43502623183303513</c:v>
                </c:pt>
                <c:pt idx="4">
                  <c:v>0.42653047869680449</c:v>
                </c:pt>
                <c:pt idx="5">
                  <c:v>0.41946543901576661</c:v>
                </c:pt>
                <c:pt idx="6">
                  <c:v>0.41321254319336731</c:v>
                </c:pt>
                <c:pt idx="7">
                  <c:v>0.40730847073427867</c:v>
                </c:pt>
                <c:pt idx="8">
                  <c:v>0.4014228177984478</c:v>
                </c:pt>
                <c:pt idx="9">
                  <c:v>0.39533729742106516</c:v>
                </c:pt>
                <c:pt idx="10">
                  <c:v>0.38892647226748522</c:v>
                </c:pt>
                <c:pt idx="11">
                  <c:v>0.38214001983578783</c:v>
                </c:pt>
                <c:pt idx="12">
                  <c:v>0.37498652987414971</c:v>
                </c:pt>
                <c:pt idx="13">
                  <c:v>0.36751883474062197</c:v>
                </c:pt>
                <c:pt idx="14">
                  <c:v>0.35982087175943889</c:v>
                </c:pt>
                <c:pt idx="15">
                  <c:v>0.3519960777630331</c:v>
                </c:pt>
                <c:pt idx="16">
                  <c:v>0.34415731781336945</c:v>
                </c:pt>
                <c:pt idx="17">
                  <c:v>0.33641834375157487</c:v>
                </c:pt>
                <c:pt idx="18">
                  <c:v>0.32888678768358659</c:v>
                </c:pt>
                <c:pt idx="19">
                  <c:v>0.32165868613810744</c:v>
                </c:pt>
                <c:pt idx="20">
                  <c:v>0.31481453789456282</c:v>
                </c:pt>
                <c:pt idx="21">
                  <c:v>0.30841689347289503</c:v>
                </c:pt>
                <c:pt idx="22">
                  <c:v>0.30250947771128267</c:v>
                </c:pt>
                <c:pt idx="23">
                  <c:v>0.29711784410756081</c:v>
                </c:pt>
                <c:pt idx="24">
                  <c:v>0.29225156243774109</c:v>
                </c:pt>
                <c:pt idx="25">
                  <c:v>0.28790793861844577</c:v>
                </c:pt>
                <c:pt idx="26">
                  <c:v>0.28407726579462178</c:v>
                </c:pt>
                <c:pt idx="27">
                  <c:v>0.28074961059610359</c:v>
                </c:pt>
                <c:pt idx="28">
                  <c:v>0.27792312866949942</c:v>
                </c:pt>
                <c:pt idx="29">
                  <c:v>0.27561391521885525</c:v>
                </c:pt>
                <c:pt idx="30">
                  <c:v>0.27386738681525458</c:v>
                </c:pt>
                <c:pt idx="31">
                  <c:v>0.27277119555219542</c:v>
                </c:pt>
                <c:pt idx="32">
                  <c:v>0.27246967640530784</c:v>
                </c:pt>
                <c:pt idx="33">
                  <c:v>0.27317982648673933</c:v>
                </c:pt>
                <c:pt idx="34">
                  <c:v>0.27520881722739432</c:v>
                </c:pt>
                <c:pt idx="35">
                  <c:v>0.27897303811914753</c:v>
                </c:pt>
                <c:pt idx="36">
                  <c:v>0.28501867428713012</c:v>
                </c:pt>
              </c:numCache>
            </c:numRef>
          </c:yVal>
          <c:smooth val="1"/>
        </c:ser>
        <c:axId val="40786944"/>
        <c:axId val="40801408"/>
      </c:scatterChart>
      <c:valAx>
        <c:axId val="40786944"/>
        <c:scaling>
          <c:orientation val="minMax"/>
          <c:max val="1650"/>
          <c:min val="12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Wavelength 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Symbol"/>
                  </a:rPr>
                  <a:t>l</a:t>
                </a:r>
                <a:r>
                  <a:rPr lang="en-US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0.41189045060884982"/>
              <c:y val="0.882885472050583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01408"/>
        <c:crosses val="autoZero"/>
        <c:crossBetween val="midCat"/>
        <c:majorUnit val="50"/>
      </c:valAx>
      <c:valAx>
        <c:axId val="408014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Loss coefficient (dB/km)</a:t>
                </a:r>
              </a:p>
            </c:rich>
          </c:tx>
          <c:layout>
            <c:manualLayout>
              <c:xMode val="edge"/>
              <c:yMode val="edge"/>
              <c:x val="3.6093493094589944E-2"/>
              <c:y val="0.22222287391749343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869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29936</xdr:colOff>
      <xdr:row>19</xdr:row>
      <xdr:rowOff>95249</xdr:rowOff>
    </xdr:from>
    <xdr:to>
      <xdr:col>15</xdr:col>
      <xdr:colOff>134711</xdr:colOff>
      <xdr:row>36</xdr:row>
      <xdr:rowOff>122464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46265</xdr:colOff>
      <xdr:row>1</xdr:row>
      <xdr:rowOff>13607</xdr:rowOff>
    </xdr:from>
    <xdr:to>
      <xdr:col>15</xdr:col>
      <xdr:colOff>151039</xdr:colOff>
      <xdr:row>18</xdr:row>
      <xdr:rowOff>141515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39461</xdr:colOff>
      <xdr:row>37</xdr:row>
      <xdr:rowOff>99332</xdr:rowOff>
    </xdr:from>
    <xdr:to>
      <xdr:col>15</xdr:col>
      <xdr:colOff>144236</xdr:colOff>
      <xdr:row>53</xdr:row>
      <xdr:rowOff>28574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3</xdr:row>
      <xdr:rowOff>19050</xdr:rowOff>
    </xdr:from>
    <xdr:to>
      <xdr:col>22</xdr:col>
      <xdr:colOff>266700</xdr:colOff>
      <xdr:row>22</xdr:row>
      <xdr:rowOff>95250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3</xdr:row>
      <xdr:rowOff>9525</xdr:rowOff>
    </xdr:from>
    <xdr:to>
      <xdr:col>14</xdr:col>
      <xdr:colOff>485775</xdr:colOff>
      <xdr:row>22</xdr:row>
      <xdr:rowOff>85725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257175</xdr:colOff>
      <xdr:row>23</xdr:row>
      <xdr:rowOff>38100</xdr:rowOff>
    </xdr:from>
    <xdr:to>
      <xdr:col>14</xdr:col>
      <xdr:colOff>476250</xdr:colOff>
      <xdr:row>42</xdr:row>
      <xdr:rowOff>133350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0.35367</cdr:x>
      <cdr:y>0.18109</cdr:y>
    </cdr:from>
    <cdr:to>
      <cdr:x>0.53622</cdr:x>
      <cdr:y>0.23857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3193" y="579295"/>
          <a:ext cx="820702" cy="1828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G.652.A&amp;B</a:t>
          </a:r>
        </a:p>
      </cdr:txBody>
    </cdr:sp>
  </cdr:relSizeAnchor>
  <cdr:relSizeAnchor xmlns:cdr="http://schemas.openxmlformats.org/drawingml/2006/chartDrawing">
    <cdr:from>
      <cdr:x>0.30987</cdr:x>
      <cdr:y>0.42288</cdr:y>
    </cdr:from>
    <cdr:to>
      <cdr:x>0.48385</cdr:x>
      <cdr:y>0.48036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6268" y="1348505"/>
          <a:ext cx="782198" cy="1828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G.652.C&amp;D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20"/>
  <sheetViews>
    <sheetView tabSelected="1" workbookViewId="0">
      <selection activeCell="C10" sqref="C10"/>
    </sheetView>
  </sheetViews>
  <sheetFormatPr defaultRowHeight="12.75"/>
  <cols>
    <col min="1" max="1" width="13.7109375" customWidth="1"/>
    <col min="2" max="2" width="14" customWidth="1"/>
    <col min="3" max="3" width="104.85546875" customWidth="1"/>
  </cols>
  <sheetData>
    <row r="2" spans="1:3">
      <c r="A2" s="1" t="s">
        <v>68</v>
      </c>
      <c r="C2" t="s">
        <v>76</v>
      </c>
    </row>
    <row r="3" spans="1:3">
      <c r="A3" s="1" t="s">
        <v>69</v>
      </c>
      <c r="C3" t="s">
        <v>77</v>
      </c>
    </row>
    <row r="4" spans="1:3" ht="15">
      <c r="A4" s="1"/>
      <c r="C4" s="62" t="s">
        <v>91</v>
      </c>
    </row>
    <row r="5" spans="1:3">
      <c r="A5" s="65" t="s">
        <v>107</v>
      </c>
      <c r="C5" s="75" t="s">
        <v>110</v>
      </c>
    </row>
    <row r="6" spans="1:3" ht="12" customHeight="1">
      <c r="A6" s="1"/>
    </row>
    <row r="7" spans="1:3">
      <c r="A7" s="1" t="s">
        <v>72</v>
      </c>
      <c r="B7" s="51">
        <v>39099</v>
      </c>
      <c r="C7" t="s">
        <v>73</v>
      </c>
    </row>
    <row r="8" spans="1:3">
      <c r="A8" s="1" t="s">
        <v>70</v>
      </c>
      <c r="B8" s="51">
        <v>39148</v>
      </c>
      <c r="C8" s="52" t="s">
        <v>71</v>
      </c>
    </row>
    <row r="9" spans="1:3">
      <c r="A9" s="1" t="s">
        <v>78</v>
      </c>
      <c r="B9" s="51">
        <v>39398</v>
      </c>
      <c r="C9" t="s">
        <v>74</v>
      </c>
    </row>
    <row r="10" spans="1:3">
      <c r="A10" s="1" t="s">
        <v>90</v>
      </c>
      <c r="B10" s="51">
        <v>42491</v>
      </c>
      <c r="C10" s="61" t="s">
        <v>111</v>
      </c>
    </row>
    <row r="11" spans="1:3">
      <c r="B11" s="51"/>
    </row>
    <row r="12" spans="1:3">
      <c r="B12" s="51"/>
    </row>
    <row r="13" spans="1:3">
      <c r="B13" s="51"/>
    </row>
    <row r="14" spans="1:3">
      <c r="B14" s="51"/>
    </row>
    <row r="15" spans="1:3">
      <c r="B15" s="51"/>
    </row>
    <row r="16" spans="1:3">
      <c r="B16" s="51"/>
    </row>
    <row r="17" spans="2:2">
      <c r="B17" s="51"/>
    </row>
    <row r="18" spans="2:2">
      <c r="B18" s="51"/>
    </row>
    <row r="19" spans="2:2">
      <c r="B19" s="51"/>
    </row>
    <row r="20" spans="2:2">
      <c r="B20" s="51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56"/>
  <sheetViews>
    <sheetView zoomScale="115" zoomScaleNormal="115" workbookViewId="0">
      <selection activeCell="C6" sqref="C6"/>
    </sheetView>
  </sheetViews>
  <sheetFormatPr defaultRowHeight="12.75"/>
  <cols>
    <col min="2" max="2" width="50.5703125" customWidth="1"/>
    <col min="3" max="3" width="11.28515625" style="1" customWidth="1"/>
    <col min="4" max="4" width="11.5703125" style="1" customWidth="1"/>
    <col min="9" max="9" width="9.42578125" bestFit="1" customWidth="1"/>
  </cols>
  <sheetData>
    <row r="1" spans="1:9" ht="13.5" thickBot="1">
      <c r="B1" t="s">
        <v>43</v>
      </c>
      <c r="C1" s="1" t="s">
        <v>42</v>
      </c>
      <c r="D1" s="1" t="s">
        <v>44</v>
      </c>
    </row>
    <row r="2" spans="1:9">
      <c r="A2" s="95" t="s">
        <v>48</v>
      </c>
      <c r="B2" s="12" t="s">
        <v>1</v>
      </c>
      <c r="C2" s="53">
        <v>25</v>
      </c>
      <c r="D2" s="13" t="s">
        <v>80</v>
      </c>
      <c r="E2" s="61"/>
    </row>
    <row r="3" spans="1:9">
      <c r="A3" s="95"/>
      <c r="B3" s="14" t="s">
        <v>13</v>
      </c>
      <c r="C3" s="54">
        <v>20</v>
      </c>
      <c r="D3" s="15" t="s">
        <v>14</v>
      </c>
      <c r="F3" s="61"/>
    </row>
    <row r="4" spans="1:9" ht="13.5" thickBot="1">
      <c r="A4" s="95"/>
      <c r="B4" s="14" t="s">
        <v>75</v>
      </c>
      <c r="C4" s="54" t="s">
        <v>3</v>
      </c>
      <c r="D4" s="15" t="s">
        <v>2</v>
      </c>
      <c r="E4" s="67"/>
      <c r="F4" s="61"/>
      <c r="H4" s="58"/>
    </row>
    <row r="5" spans="1:9">
      <c r="A5" s="95"/>
      <c r="B5" s="14" t="s">
        <v>15</v>
      </c>
      <c r="C5" s="54" t="s">
        <v>18</v>
      </c>
      <c r="D5" s="66" t="s">
        <v>2</v>
      </c>
      <c r="E5" s="99" t="s">
        <v>92</v>
      </c>
      <c r="F5" s="100"/>
      <c r="G5" s="100"/>
      <c r="H5" s="100"/>
      <c r="I5" s="101"/>
    </row>
    <row r="6" spans="1:9">
      <c r="A6" s="95"/>
      <c r="B6" s="16" t="s">
        <v>16</v>
      </c>
      <c r="C6" s="54">
        <v>800</v>
      </c>
      <c r="D6" s="66" t="s">
        <v>17</v>
      </c>
      <c r="E6" s="68">
        <v>1</v>
      </c>
      <c r="F6" s="31">
        <v>2</v>
      </c>
      <c r="G6" s="31">
        <v>3</v>
      </c>
      <c r="H6" s="31">
        <v>4</v>
      </c>
      <c r="I6" s="71" t="s">
        <v>95</v>
      </c>
    </row>
    <row r="7" spans="1:9">
      <c r="A7" s="95"/>
      <c r="B7" s="16" t="s">
        <v>23</v>
      </c>
      <c r="C7" s="54">
        <v>20</v>
      </c>
      <c r="D7" s="66" t="s">
        <v>24</v>
      </c>
      <c r="E7" s="73">
        <v>1290</v>
      </c>
      <c r="F7" s="70">
        <v>1310</v>
      </c>
      <c r="G7" s="70">
        <v>1325</v>
      </c>
      <c r="H7" s="70">
        <v>1340</v>
      </c>
      <c r="I7" s="71" t="s">
        <v>93</v>
      </c>
    </row>
    <row r="8" spans="1:9" ht="13.5" thickBot="1">
      <c r="A8" s="95"/>
      <c r="B8" s="16" t="s">
        <v>26</v>
      </c>
      <c r="C8" s="54">
        <v>231.9</v>
      </c>
      <c r="D8" s="66" t="s">
        <v>19</v>
      </c>
      <c r="E8" s="74">
        <v>1300</v>
      </c>
      <c r="F8" s="69">
        <v>1315</v>
      </c>
      <c r="G8" s="69">
        <v>1330</v>
      </c>
      <c r="H8" s="69">
        <v>1345</v>
      </c>
      <c r="I8" s="72" t="s">
        <v>94</v>
      </c>
    </row>
    <row r="9" spans="1:9">
      <c r="A9" s="95"/>
      <c r="B9" s="16" t="s">
        <v>27</v>
      </c>
      <c r="C9" s="54">
        <v>1291</v>
      </c>
      <c r="D9" s="15" t="s">
        <v>25</v>
      </c>
    </row>
    <row r="10" spans="1:9" ht="13.5" thickBot="1">
      <c r="A10" s="95"/>
      <c r="B10" s="17" t="s">
        <v>28</v>
      </c>
      <c r="C10" s="55">
        <v>6.5</v>
      </c>
      <c r="D10" s="18" t="s">
        <v>25</v>
      </c>
    </row>
    <row r="11" spans="1:9" ht="15" customHeight="1">
      <c r="A11" s="96" t="s">
        <v>67</v>
      </c>
      <c r="B11" s="26" t="s">
        <v>51</v>
      </c>
      <c r="C11" s="31">
        <v>1324</v>
      </c>
      <c r="D11" s="29" t="s">
        <v>25</v>
      </c>
    </row>
    <row r="12" spans="1:9" ht="15" customHeight="1">
      <c r="A12" s="96"/>
      <c r="B12" s="26" t="s">
        <v>50</v>
      </c>
      <c r="C12" s="31">
        <v>1300</v>
      </c>
      <c r="D12" s="29" t="s">
        <v>25</v>
      </c>
    </row>
    <row r="13" spans="1:9" ht="13.5" thickBot="1">
      <c r="A13" s="96"/>
      <c r="B13" s="26" t="s">
        <v>35</v>
      </c>
      <c r="C13" s="31">
        <v>9.2999999999999999E-2</v>
      </c>
      <c r="D13" s="29" t="s">
        <v>36</v>
      </c>
    </row>
    <row r="14" spans="1:9">
      <c r="A14" s="97" t="s">
        <v>49</v>
      </c>
      <c r="B14" s="19" t="s">
        <v>47</v>
      </c>
      <c r="C14" s="20">
        <f>MAX(E29:H30)</f>
        <v>8.7325011214147708</v>
      </c>
      <c r="D14" s="21" t="s">
        <v>30</v>
      </c>
      <c r="E14" s="9"/>
    </row>
    <row r="15" spans="1:9">
      <c r="A15" s="97"/>
      <c r="B15" s="22" t="s">
        <v>46</v>
      </c>
      <c r="C15" s="10">
        <f>MAX(E31:H32)</f>
        <v>13.275459794878744</v>
      </c>
      <c r="D15" s="23" t="s">
        <v>41</v>
      </c>
      <c r="E15" s="9"/>
    </row>
    <row r="16" spans="1:9">
      <c r="A16" s="97"/>
      <c r="B16" s="22" t="s">
        <v>45</v>
      </c>
      <c r="C16" s="10">
        <f>MIN(E33:H34)</f>
        <v>-62.018943506308624</v>
      </c>
      <c r="D16" s="23" t="s">
        <v>41</v>
      </c>
    </row>
    <row r="17" spans="1:8">
      <c r="A17" s="97"/>
      <c r="B17" s="22" t="s">
        <v>58</v>
      </c>
      <c r="C17" s="11">
        <f>MAX(C37,C41)</f>
        <v>4.4864184516645764</v>
      </c>
      <c r="D17" s="23" t="s">
        <v>79</v>
      </c>
      <c r="E17" s="9"/>
    </row>
    <row r="18" spans="1:8">
      <c r="A18" s="97"/>
      <c r="B18" s="22" t="s">
        <v>61</v>
      </c>
      <c r="C18" s="11">
        <f>MAX(C38,C42)</f>
        <v>1.0543507653110282</v>
      </c>
      <c r="D18" s="23" t="s">
        <v>79</v>
      </c>
      <c r="E18" s="9"/>
    </row>
    <row r="19" spans="1:8">
      <c r="A19" s="105" t="str">
        <f>"Channels for Grid Type " &amp; C5</f>
        <v>Channels for Grid Type DWDM</v>
      </c>
      <c r="B19" s="3" t="s">
        <v>29</v>
      </c>
      <c r="C19" s="24"/>
      <c r="D19" s="24" t="s">
        <v>2</v>
      </c>
      <c r="E19" s="24">
        <v>1</v>
      </c>
      <c r="F19" s="24">
        <v>2</v>
      </c>
      <c r="G19" s="24">
        <v>3</v>
      </c>
      <c r="H19" s="25">
        <v>4</v>
      </c>
    </row>
    <row r="20" spans="1:8">
      <c r="A20" s="105"/>
      <c r="B20" s="26" t="s">
        <v>21</v>
      </c>
      <c r="C20" s="27"/>
      <c r="D20" s="28" t="s">
        <v>19</v>
      </c>
      <c r="E20" s="28">
        <f>E21+$C6/1000*$C7/100</f>
        <v>232.06</v>
      </c>
      <c r="F20" s="28">
        <f>F21+$C6/1000*$C7/100</f>
        <v>231.26</v>
      </c>
      <c r="G20" s="28">
        <f>G21+$C6/1000*$C7/100</f>
        <v>230.45999999999998</v>
      </c>
      <c r="H20" s="29">
        <f>H21+$C6/1000*$C7/100</f>
        <v>229.65999999999997</v>
      </c>
    </row>
    <row r="21" spans="1:8">
      <c r="A21" s="105"/>
      <c r="B21" s="26" t="s">
        <v>20</v>
      </c>
      <c r="C21" s="27"/>
      <c r="D21" s="28" t="s">
        <v>19</v>
      </c>
      <c r="E21" s="28">
        <f>C8</f>
        <v>231.9</v>
      </c>
      <c r="F21" s="28">
        <f>E21-$C6/1000</f>
        <v>231.1</v>
      </c>
      <c r="G21" s="28">
        <f>F21-$C6/1000</f>
        <v>230.29999999999998</v>
      </c>
      <c r="H21" s="29">
        <f>G21-$C6/1000</f>
        <v>229.49999999999997</v>
      </c>
    </row>
    <row r="22" spans="1:8">
      <c r="A22" s="105"/>
      <c r="B22" s="26" t="s">
        <v>22</v>
      </c>
      <c r="C22" s="27"/>
      <c r="D22" s="28" t="s">
        <v>19</v>
      </c>
      <c r="E22" s="28">
        <f>E21-$C6/1000*$C7/100</f>
        <v>231.74</v>
      </c>
      <c r="F22" s="28">
        <f>F21-$C6/1000*$C7/100</f>
        <v>230.94</v>
      </c>
      <c r="G22" s="28">
        <f>G21-$C6/1000*$C7/100</f>
        <v>230.14</v>
      </c>
      <c r="H22" s="29">
        <f>H21-$C6/1000*$C7/100</f>
        <v>229.33999999999997</v>
      </c>
    </row>
    <row r="23" spans="1:8">
      <c r="A23" s="105"/>
      <c r="B23" s="59" t="s">
        <v>84</v>
      </c>
      <c r="C23" s="31"/>
      <c r="D23" s="31" t="s">
        <v>25</v>
      </c>
      <c r="E23" s="32">
        <f>E27-E28</f>
        <v>1.7838954209332769</v>
      </c>
      <c r="F23" s="32">
        <f>F19-F28</f>
        <v>-1294.3437602698264</v>
      </c>
      <c r="G23" s="32">
        <f>G19-G28</f>
        <v>-1297.843782001215</v>
      </c>
      <c r="H23" s="33">
        <f>H19-H28</f>
        <v>-1301.3751545763305</v>
      </c>
    </row>
    <row r="24" spans="1:8">
      <c r="A24" s="105"/>
      <c r="B24" s="59" t="s">
        <v>85</v>
      </c>
      <c r="C24" s="31"/>
      <c r="D24" s="31" t="s">
        <v>25</v>
      </c>
      <c r="E24" s="32">
        <f>E28+(E23)/2</f>
        <v>1292.7667128574112</v>
      </c>
      <c r="F24" s="32">
        <f>F28+(F23)/2</f>
        <v>649.17188013491318</v>
      </c>
      <c r="G24" s="32">
        <f>G28+(G23)/2</f>
        <v>651.9218910006075</v>
      </c>
      <c r="H24" s="33">
        <f>H28+(H23)/2</f>
        <v>654.68757728816524</v>
      </c>
    </row>
    <row r="25" spans="1:8">
      <c r="A25" s="105"/>
      <c r="B25" s="59" t="s">
        <v>87</v>
      </c>
      <c r="C25" s="31"/>
      <c r="D25" s="31" t="s">
        <v>25</v>
      </c>
      <c r="E25" s="32" t="s">
        <v>88</v>
      </c>
      <c r="F25" s="32">
        <f>F28-E19</f>
        <v>1295.3437602698264</v>
      </c>
      <c r="G25" s="32">
        <f>G28-F19</f>
        <v>1298.843782001215</v>
      </c>
      <c r="H25" s="33">
        <f>H28-G19</f>
        <v>1302.3751545763305</v>
      </c>
    </row>
    <row r="26" spans="1:8">
      <c r="A26" s="105"/>
      <c r="B26" s="59" t="s">
        <v>86</v>
      </c>
      <c r="C26" s="31"/>
      <c r="D26" s="31" t="s">
        <v>25</v>
      </c>
      <c r="E26" s="32">
        <f>F28-E19</f>
        <v>1295.3437602698264</v>
      </c>
      <c r="F26" s="32">
        <f>G28-F19</f>
        <v>1298.843782001215</v>
      </c>
      <c r="G26" s="32">
        <f>H28-G19</f>
        <v>1302.3751545763305</v>
      </c>
      <c r="H26" s="33" t="s">
        <v>88</v>
      </c>
    </row>
    <row r="27" spans="1:8">
      <c r="A27" s="105"/>
      <c r="B27" s="30" t="s">
        <v>32</v>
      </c>
      <c r="C27" s="31"/>
      <c r="D27" s="31" t="s">
        <v>25</v>
      </c>
      <c r="E27" s="32">
        <f>VLOOKUP($C$5,MaxLambdaTable,E19+2,FALSE)</f>
        <v>1293.6586605678779</v>
      </c>
      <c r="F27" s="32">
        <f>VLOOKUP($C$5,MaxLambdaTable,F19+2,FALSE)</f>
        <v>1298.1400277128259</v>
      </c>
      <c r="G27" s="32">
        <f>VLOOKUP($C$5,MaxLambdaTable,G19+2,FALSE)</f>
        <v>1302.6525506213611</v>
      </c>
      <c r="H27" s="33">
        <f>VLOOKUP($C$5,MaxLambdaTable,H19+2,FALSE)</f>
        <v>1307.1965553326941</v>
      </c>
    </row>
    <row r="28" spans="1:8">
      <c r="A28" s="105"/>
      <c r="B28" s="6" t="s">
        <v>33</v>
      </c>
      <c r="C28" s="34"/>
      <c r="D28" s="34" t="s">
        <v>25</v>
      </c>
      <c r="E28" s="35">
        <f>VLOOKUP($C$5,MinLambdaTable,E19+2,FALSE)</f>
        <v>1291.8747651469446</v>
      </c>
      <c r="F28" s="35">
        <f>VLOOKUP($C$5,MinLambdaTable,F19+2,FALSE)</f>
        <v>1296.3437602698264</v>
      </c>
      <c r="G28" s="35">
        <f>VLOOKUP($C$5,MinLambdaTable,G19+2,FALSE)</f>
        <v>1300.843782001215</v>
      </c>
      <c r="H28" s="36">
        <f>VLOOKUP($C$5,MinLambdaTable,H19+2,FALSE)</f>
        <v>1305.3751545763305</v>
      </c>
    </row>
    <row r="29" spans="1:8">
      <c r="A29" s="96" t="s">
        <v>64</v>
      </c>
      <c r="B29" s="47" t="s">
        <v>31</v>
      </c>
      <c r="C29" s="48"/>
      <c r="D29" s="48" t="s">
        <v>30</v>
      </c>
      <c r="E29" s="63">
        <f t="shared" ref="E29:H30" si="0">fibre_loss($C$4,E27)*$C$3</f>
        <v>8.6870316606996312</v>
      </c>
      <c r="F29" s="63">
        <f t="shared" si="0"/>
        <v>8.5794235879552616</v>
      </c>
      <c r="G29" s="63">
        <f t="shared" si="0"/>
        <v>8.4831927712252764</v>
      </c>
      <c r="H29" s="64">
        <f t="shared" si="0"/>
        <v>8.4018470983141924</v>
      </c>
    </row>
    <row r="30" spans="1:8">
      <c r="A30" s="96"/>
      <c r="B30" s="41" t="s">
        <v>34</v>
      </c>
      <c r="C30" s="42"/>
      <c r="D30" s="42" t="s">
        <v>30</v>
      </c>
      <c r="E30" s="43">
        <f t="shared" si="0"/>
        <v>8.7325011214147708</v>
      </c>
      <c r="F30" s="43">
        <f t="shared" si="0"/>
        <v>8.6212933033425543</v>
      </c>
      <c r="G30" s="43">
        <f t="shared" si="0"/>
        <v>8.5200984669313584</v>
      </c>
      <c r="H30" s="44">
        <f t="shared" si="0"/>
        <v>8.4323687653090929</v>
      </c>
    </row>
    <row r="31" spans="1:8" ht="15" customHeight="1">
      <c r="A31" s="96" t="s">
        <v>65</v>
      </c>
      <c r="B31" s="3" t="s">
        <v>37</v>
      </c>
      <c r="C31" s="24"/>
      <c r="D31" s="24" t="s">
        <v>41</v>
      </c>
      <c r="E31" s="37">
        <f>fibre_dispersion($C$12,$C$13,E27)*$C$3</f>
        <v>-11.881900540266219</v>
      </c>
      <c r="F31" s="37">
        <f>fibre_dispersion($C$12,$C$13,F27)*$C$3</f>
        <v>-3.4669908093950519</v>
      </c>
      <c r="G31" s="37">
        <f t="shared" ref="E31:H32" si="1">fibre_dispersion($C$12,$C$13,G27)*$C$3</f>
        <v>4.9186949593174116</v>
      </c>
      <c r="H31" s="38">
        <f t="shared" si="1"/>
        <v>13.275459794878744</v>
      </c>
    </row>
    <row r="32" spans="1:8" ht="15" customHeight="1">
      <c r="A32" s="96"/>
      <c r="B32" s="30" t="s">
        <v>39</v>
      </c>
      <c r="C32" s="31"/>
      <c r="D32" s="31" t="s">
        <v>41</v>
      </c>
      <c r="E32" s="32">
        <f t="shared" si="1"/>
        <v>-15.256114622465827</v>
      </c>
      <c r="F32" s="32">
        <f t="shared" si="1"/>
        <v>-6.8294309271471239</v>
      </c>
      <c r="G32" s="32">
        <f t="shared" si="1"/>
        <v>1.5679081805896045</v>
      </c>
      <c r="H32" s="33">
        <f t="shared" si="1"/>
        <v>9.9362048908977343</v>
      </c>
    </row>
    <row r="33" spans="1:9" ht="15" customHeight="1">
      <c r="A33" s="96"/>
      <c r="B33" s="30" t="s">
        <v>38</v>
      </c>
      <c r="C33" s="31"/>
      <c r="D33" s="31" t="s">
        <v>41</v>
      </c>
      <c r="E33" s="32">
        <f t="shared" ref="E33:H34" si="2">fibre_dispersion($C$11,$C$13,E27)*$C$3</f>
        <v>-58.451544731541453</v>
      </c>
      <c r="F33" s="32">
        <f t="shared" si="2"/>
        <v>-49.556002594991625</v>
      </c>
      <c r="G33" s="32">
        <f t="shared" si="2"/>
        <v>-40.693002832543556</v>
      </c>
      <c r="H33" s="33">
        <f t="shared" si="2"/>
        <v>-31.862230919868189</v>
      </c>
    </row>
    <row r="34" spans="1:9" ht="15" customHeight="1">
      <c r="A34" s="96"/>
      <c r="B34" s="6" t="s">
        <v>40</v>
      </c>
      <c r="C34" s="34"/>
      <c r="D34" s="34" t="s">
        <v>41</v>
      </c>
      <c r="E34" s="35">
        <f t="shared" si="2"/>
        <v>-62.018943506308624</v>
      </c>
      <c r="F34" s="35">
        <f t="shared" si="2"/>
        <v>-53.110296821843946</v>
      </c>
      <c r="G34" s="35">
        <f t="shared" si="2"/>
        <v>-44.23431773503313</v>
      </c>
      <c r="H34" s="36">
        <f t="shared" si="2"/>
        <v>-35.390692560400787</v>
      </c>
    </row>
    <row r="35" spans="1:9" ht="15" customHeight="1">
      <c r="A35" t="s">
        <v>66</v>
      </c>
      <c r="B35" s="39" t="s">
        <v>54</v>
      </c>
      <c r="C35" s="40"/>
      <c r="D35" s="40" t="s">
        <v>79</v>
      </c>
      <c r="E35" s="45">
        <f t="shared" ref="E35:H36" si="3">fibre_delay($C$11,$C$13,E27)*$C$3*$C$2/4000</f>
        <v>5.4772063232676373</v>
      </c>
      <c r="F35" s="45">
        <f t="shared" si="3"/>
        <v>3.964859136681298</v>
      </c>
      <c r="G35" s="45">
        <f t="shared" si="3"/>
        <v>2.6924213680285902</v>
      </c>
      <c r="H35" s="46">
        <f t="shared" si="3"/>
        <v>1.6623574317854946</v>
      </c>
    </row>
    <row r="36" spans="1:9" ht="15" customHeight="1">
      <c r="B36" s="47" t="s">
        <v>55</v>
      </c>
      <c r="C36" s="48"/>
      <c r="D36" s="48" t="s">
        <v>79</v>
      </c>
      <c r="E36" s="49">
        <f t="shared" si="3"/>
        <v>6.148775883450071</v>
      </c>
      <c r="F36" s="49">
        <f t="shared" si="3"/>
        <v>4.5411454570403293</v>
      </c>
      <c r="G36" s="49">
        <f t="shared" si="3"/>
        <v>3.1724505810079791</v>
      </c>
      <c r="H36" s="50">
        <f t="shared" si="3"/>
        <v>2.0451386369140891</v>
      </c>
    </row>
    <row r="37" spans="1:9" ht="14.25" customHeight="1">
      <c r="B37" s="47" t="s">
        <v>59</v>
      </c>
      <c r="C37" s="49">
        <f>MAX(E35:H36)-MIN(E35:H37)</f>
        <v>4.4864184516645764</v>
      </c>
      <c r="D37" s="48" t="s">
        <v>79</v>
      </c>
      <c r="E37" s="49" t="str">
        <f>IF(AND(E$28&lt;$C11,E$27&gt;$C11),0,"")</f>
        <v/>
      </c>
      <c r="F37" s="49" t="str">
        <f>IF(AND(F$28&lt;$C11,F$27&gt;$C11),0,"")</f>
        <v/>
      </c>
      <c r="G37" s="49" t="str">
        <f>IF(AND(G$28&lt;$C11,G$27&gt;$C11),0,"")</f>
        <v/>
      </c>
      <c r="H37" s="50" t="str">
        <f>IF(AND(H$28&lt;$C11,H$27&gt;$C11),0,"")</f>
        <v/>
      </c>
    </row>
    <row r="38" spans="1:9" ht="15" customHeight="1">
      <c r="B38" s="47" t="s">
        <v>62</v>
      </c>
      <c r="C38" s="49">
        <f>C37-(MAX(MIN(E35:E36),MIN(F35:F36),MIN(G35:G36),MIN(H35:H36))-MIN(MAX(E35:E36),MAX(F35:F36),MAX(G35:G36),MAX(H35:H36)))</f>
        <v>1.0543507653110282</v>
      </c>
      <c r="D38" s="48" t="s">
        <v>79</v>
      </c>
      <c r="E38" s="49"/>
      <c r="F38" s="49"/>
      <c r="G38" s="49"/>
      <c r="H38" s="50"/>
    </row>
    <row r="39" spans="1:9" ht="19.5">
      <c r="B39" s="47" t="s">
        <v>56</v>
      </c>
      <c r="C39" s="48"/>
      <c r="D39" s="48" t="s">
        <v>79</v>
      </c>
      <c r="E39" s="49">
        <f t="shared" ref="E39:H40" si="4">fibre_delay($C$12,$C$13,E27)*$C$3*$C$2/4000</f>
        <v>0.2348827994946987</v>
      </c>
      <c r="F39" s="49">
        <f t="shared" si="4"/>
        <v>2.0137147270361311E-2</v>
      </c>
      <c r="G39" s="49">
        <f t="shared" si="4"/>
        <v>4.0813659471496067E-2</v>
      </c>
      <c r="H39" s="50">
        <f t="shared" si="4"/>
        <v>0.29937675056771695</v>
      </c>
    </row>
    <row r="40" spans="1:9" ht="19.5">
      <c r="B40" s="47" t="s">
        <v>57</v>
      </c>
      <c r="C40" s="48"/>
      <c r="D40" s="48" t="s">
        <v>79</v>
      </c>
      <c r="E40" s="49">
        <f t="shared" si="4"/>
        <v>0.38615531494633615</v>
      </c>
      <c r="F40" s="49">
        <f t="shared" si="4"/>
        <v>7.7921324305862072E-2</v>
      </c>
      <c r="G40" s="49">
        <f t="shared" si="4"/>
        <v>4.1356305318913655E-3</v>
      </c>
      <c r="H40" s="50">
        <f t="shared" si="4"/>
        <v>0.16724561518367409</v>
      </c>
    </row>
    <row r="41" spans="1:9" ht="19.5">
      <c r="B41" s="47" t="s">
        <v>60</v>
      </c>
      <c r="C41" s="49">
        <f>MAX(E39:H40)-MIN(E39:H41)</f>
        <v>0.38201968441444478</v>
      </c>
      <c r="D41" s="48" t="s">
        <v>79</v>
      </c>
      <c r="E41" s="49" t="str">
        <f>IF(AND(E$28&lt;$C12,E$27&gt;$C12),0,"")</f>
        <v/>
      </c>
      <c r="F41" s="49" t="str">
        <f>IF(AND(F$28&lt;$C12,F$27&gt;$C12),0,"")</f>
        <v/>
      </c>
      <c r="G41" s="49" t="str">
        <f>IF(AND(G$28&lt;$C12,G$27&gt;$C12),0,"")</f>
        <v/>
      </c>
      <c r="H41" s="50" t="str">
        <f>IF(AND(H$28&lt;$C12,H$27&gt;$C12),0,"")</f>
        <v/>
      </c>
    </row>
    <row r="42" spans="1:9" ht="19.5">
      <c r="B42" s="47" t="s">
        <v>63</v>
      </c>
      <c r="C42" s="49">
        <f>C41-(MAX(MIN(E39:E40),MIN(F39:F40),MIN(G39:G40),MIN(H39:H40))-MIN(MAX(E39:E40),MAX(F39:F40),MAX(G39:G40),MAX(H39:H40)))</f>
        <v>0.18795054439124215</v>
      </c>
      <c r="D42" s="48" t="s">
        <v>79</v>
      </c>
      <c r="E42" s="56"/>
      <c r="F42" s="56"/>
      <c r="G42" s="56"/>
      <c r="H42" s="57"/>
    </row>
    <row r="43" spans="1:9">
      <c r="A43" s="98" t="s">
        <v>96</v>
      </c>
      <c r="B43" s="102" t="s">
        <v>32</v>
      </c>
      <c r="C43" s="24" t="s">
        <v>81</v>
      </c>
      <c r="D43" s="24" t="s">
        <v>25</v>
      </c>
      <c r="E43" s="37">
        <v>1282.4000000000001</v>
      </c>
      <c r="F43" s="37">
        <v>1306.9000000000001</v>
      </c>
      <c r="G43" s="37">
        <v>1331.4</v>
      </c>
      <c r="H43" s="38">
        <v>1355.9</v>
      </c>
      <c r="I43" s="58"/>
    </row>
    <row r="44" spans="1:9">
      <c r="A44" s="98"/>
      <c r="B44" s="103"/>
      <c r="C44" s="60" t="s">
        <v>89</v>
      </c>
      <c r="D44" s="60" t="s">
        <v>25</v>
      </c>
      <c r="E44" s="32">
        <v>1264.5</v>
      </c>
      <c r="F44" s="32">
        <v>1284.5</v>
      </c>
      <c r="G44" s="32">
        <v>1304.5</v>
      </c>
      <c r="H44" s="33">
        <v>1324.5</v>
      </c>
      <c r="I44" s="58"/>
    </row>
    <row r="45" spans="1:9">
      <c r="A45" s="98"/>
      <c r="B45" s="103"/>
      <c r="C45" s="31" t="s">
        <v>82</v>
      </c>
      <c r="D45" s="31" t="s">
        <v>25</v>
      </c>
      <c r="E45" s="32">
        <v>1297.5</v>
      </c>
      <c r="F45" s="32">
        <v>1317.5</v>
      </c>
      <c r="G45" s="32">
        <v>1337.5</v>
      </c>
      <c r="H45" s="33">
        <v>1357.5</v>
      </c>
      <c r="I45" s="58"/>
    </row>
    <row r="46" spans="1:9">
      <c r="A46" s="98"/>
      <c r="B46" s="103"/>
      <c r="C46" s="31" t="s">
        <v>18</v>
      </c>
      <c r="D46" s="31" t="s">
        <v>25</v>
      </c>
      <c r="E46" s="32">
        <f>IF($C$5="CWDM LX4",1282.4+24.5*(E$19-1),IF($C$5="CWDM ITU",$C$9+$C$10+20*(E$19-1),IF($C$5="DWDM",299792458/E$22/1000,IF($C$5="Custom",E55,"ERR!"))))</f>
        <v>1293.6586605678779</v>
      </c>
      <c r="F46" s="32">
        <f>IF($C$5="CWDM LX4",1282.4+24.5*(F$19-1),IF($C$5="CWDM ITU",$C$9+$C$10+20*(F$19-1),IF($C$5="DWDM",299792458/F$22/1000,IF($C$5="Custom",F55,"ERR!"))))</f>
        <v>1298.1400277128259</v>
      </c>
      <c r="G46" s="32">
        <f>IF($C$5="CWDM LX4",1282.4+24.5*(G$19-1),IF($C$5="CWDM ITU",$C$9+$C$10+20*(G$19-1),IF($C$5="DWDM",299792458/G$22/1000,IF($C$5="Custom",G55,"ERR!"))))</f>
        <v>1302.6525506213611</v>
      </c>
      <c r="H46" s="33">
        <f>IF($C$5="CWDM LX4",1282.4+24.5*(H$19-1),IF($C$5="CWDM ITU",$C$9+$C$10+20*(H$19-1),IF($C$5="DWDM",299792458/H$22/1000,IF($C$5="Custom",H55,"ERR!"))))</f>
        <v>1307.1965553326941</v>
      </c>
      <c r="I46" s="58"/>
    </row>
    <row r="47" spans="1:9">
      <c r="A47" s="98"/>
      <c r="B47" s="104"/>
      <c r="C47" s="34" t="s">
        <v>83</v>
      </c>
      <c r="D47" s="34" t="s">
        <v>25</v>
      </c>
      <c r="E47" s="35">
        <f>E7</f>
        <v>1290</v>
      </c>
      <c r="F47" s="35">
        <f t="shared" ref="F47:H47" si="5">F7</f>
        <v>1310</v>
      </c>
      <c r="G47" s="35">
        <f t="shared" si="5"/>
        <v>1325</v>
      </c>
      <c r="H47" s="36">
        <f t="shared" si="5"/>
        <v>1340</v>
      </c>
      <c r="I47" s="58"/>
    </row>
    <row r="48" spans="1:9">
      <c r="A48" s="98"/>
      <c r="B48" s="102" t="s">
        <v>33</v>
      </c>
      <c r="C48" s="24" t="s">
        <v>81</v>
      </c>
      <c r="D48" s="24" t="s">
        <v>25</v>
      </c>
      <c r="E48" s="37">
        <v>1269</v>
      </c>
      <c r="F48" s="37">
        <v>1293.5</v>
      </c>
      <c r="G48" s="37">
        <v>1318</v>
      </c>
      <c r="H48" s="38">
        <v>1342.5</v>
      </c>
      <c r="I48" s="58"/>
    </row>
    <row r="49" spans="1:9">
      <c r="A49" s="98"/>
      <c r="B49" s="103"/>
      <c r="C49" s="60" t="s">
        <v>89</v>
      </c>
      <c r="D49" s="60" t="s">
        <v>25</v>
      </c>
      <c r="E49" s="32">
        <v>1277.5</v>
      </c>
      <c r="F49" s="32">
        <v>1297.5</v>
      </c>
      <c r="G49" s="32">
        <v>1317.5</v>
      </c>
      <c r="H49" s="33">
        <v>1337.5</v>
      </c>
      <c r="I49" s="58"/>
    </row>
    <row r="50" spans="1:9">
      <c r="A50" s="98"/>
      <c r="B50" s="103"/>
      <c r="C50" s="31" t="s">
        <v>82</v>
      </c>
      <c r="D50" s="31" t="s">
        <v>25</v>
      </c>
      <c r="E50" s="32">
        <v>1284.5</v>
      </c>
      <c r="F50" s="32">
        <v>1304.5</v>
      </c>
      <c r="G50" s="32">
        <v>1324.5</v>
      </c>
      <c r="H50" s="33">
        <v>1344.5</v>
      </c>
      <c r="I50" s="58"/>
    </row>
    <row r="51" spans="1:9">
      <c r="A51" s="98"/>
      <c r="B51" s="103"/>
      <c r="C51" s="31" t="s">
        <v>18</v>
      </c>
      <c r="D51" s="31" t="s">
        <v>25</v>
      </c>
      <c r="E51" s="32">
        <f>IF($C$5="CWDM LX4",1269+24.5*(E$19-1),IF($C$5="CWDM ITU",$C$9-$C$10+20*(E$19-1),IF($C$5="DWDM",299792458/E$20/1000,IF($C$5="Custom",E56,"ERR!"))))</f>
        <v>1291.8747651469446</v>
      </c>
      <c r="F51" s="32">
        <f>IF($C$5="CWDM LX4",1269+24.5*(F$19-1),IF($C$5="CWDM ITU",$C$9-$C$10+20*(F$19-1),IF($C$5="DWDM",299792458/F$20/1000,IF($C$5="Custom",F56,"ERR!"))))</f>
        <v>1296.3437602698264</v>
      </c>
      <c r="G51" s="32">
        <f>IF($C$5="CWDM LX4",1269+24.5*(G$19-1),IF($C$5="CWDM ITU",$C$9-$C$10+20*(G$19-1),IF($C$5="DWDM",299792458/G$20/1000,IF($C$5="Custom",G56,"ERR!"))))</f>
        <v>1300.843782001215</v>
      </c>
      <c r="H51" s="33">
        <f>IF($C$5="CWDM LX4",1269+24.5*(H$19-1),IF($C$5="CWDM ITU",$C$9-$C$10+20*(H$19-1),IF($C$5="DWDM",299792458/H$20/1000,IF($C$5="Custom",H56,"ERR!"))))</f>
        <v>1305.3751545763305</v>
      </c>
      <c r="I51" s="58"/>
    </row>
    <row r="52" spans="1:9">
      <c r="A52" s="98"/>
      <c r="B52" s="104"/>
      <c r="C52" s="34" t="s">
        <v>83</v>
      </c>
      <c r="D52" s="34" t="s">
        <v>25</v>
      </c>
      <c r="E52" s="35">
        <f>E8</f>
        <v>1300</v>
      </c>
      <c r="F52" s="35">
        <f t="shared" ref="F52:H52" si="6">F8</f>
        <v>1315</v>
      </c>
      <c r="G52" s="35">
        <f t="shared" si="6"/>
        <v>1330</v>
      </c>
      <c r="H52" s="36">
        <f t="shared" si="6"/>
        <v>1345</v>
      </c>
      <c r="I52" s="58"/>
    </row>
    <row r="54" spans="1:9">
      <c r="E54">
        <f>E27+(E28-E27)/2</f>
        <v>1292.7667128574112</v>
      </c>
      <c r="F54">
        <f t="shared" ref="F54:H54" si="7">F27+(F28-F27)/2</f>
        <v>1297.2418939913262</v>
      </c>
      <c r="G54">
        <f t="shared" si="7"/>
        <v>1301.7481663112881</v>
      </c>
      <c r="H54">
        <f t="shared" si="7"/>
        <v>1306.2858549545122</v>
      </c>
    </row>
    <row r="55" spans="1:9">
      <c r="E55" s="77">
        <f>E$54-E27</f>
        <v>-0.89194771046663845</v>
      </c>
      <c r="F55" s="77">
        <f t="shared" ref="F55:H55" si="8">F$54-F27</f>
        <v>-0.89813372149978932</v>
      </c>
      <c r="G55" s="77">
        <f t="shared" si="8"/>
        <v>-0.90438431007305553</v>
      </c>
      <c r="H55" s="77">
        <f t="shared" si="8"/>
        <v>-0.91070037818190031</v>
      </c>
    </row>
    <row r="56" spans="1:9">
      <c r="E56" s="77">
        <f>E$54-E28</f>
        <v>0.89194771046663845</v>
      </c>
      <c r="F56" s="77">
        <f t="shared" ref="F56:H56" si="9">F$54-F28</f>
        <v>0.89813372149978932</v>
      </c>
      <c r="G56" s="77">
        <f t="shared" si="9"/>
        <v>0.90438431007305553</v>
      </c>
      <c r="H56" s="77">
        <f t="shared" si="9"/>
        <v>0.91070037818167293</v>
      </c>
    </row>
  </sheetData>
  <sheetProtection sheet="1" objects="1" scenarios="1" selectLockedCells="1"/>
  <mergeCells count="10">
    <mergeCell ref="A2:A10"/>
    <mergeCell ref="A11:A13"/>
    <mergeCell ref="A14:A18"/>
    <mergeCell ref="A43:A52"/>
    <mergeCell ref="E5:I5"/>
    <mergeCell ref="B43:B47"/>
    <mergeCell ref="B48:B52"/>
    <mergeCell ref="A19:A28"/>
    <mergeCell ref="A29:A30"/>
    <mergeCell ref="A31:A34"/>
  </mergeCells>
  <phoneticPr fontId="2" type="noConversion"/>
  <conditionalFormatting sqref="B6:D8 B20:H22">
    <cfRule type="expression" dxfId="3" priority="7" stopIfTrue="1">
      <formula>$C$5&lt;&gt;"DWDM"</formula>
    </cfRule>
  </conditionalFormatting>
  <conditionalFormatting sqref="B9:D10">
    <cfRule type="expression" dxfId="2" priority="8" stopIfTrue="1">
      <formula>$C$5&lt;&gt;"CWDM ITU"</formula>
    </cfRule>
  </conditionalFormatting>
  <conditionalFormatting sqref="B23:H26">
    <cfRule type="expression" dxfId="1" priority="6">
      <formula>$C$5&lt;&gt;"Custom"</formula>
    </cfRule>
  </conditionalFormatting>
  <conditionalFormatting sqref="E5:I8">
    <cfRule type="expression" dxfId="0" priority="1">
      <formula>$C$5&lt;&gt;"Custom"</formula>
    </cfRule>
  </conditionalFormatting>
  <dataValidations count="2">
    <dataValidation type="list" allowBlank="1" showInputMessage="1" showErrorMessage="1" sqref="C5">
      <formula1>$C$43:$C$47</formula1>
    </dataValidation>
    <dataValidation type="list" allowBlank="1" showInputMessage="1" showErrorMessage="1" sqref="C4">
      <formula1>"G.652.A&amp;B, G.652.C&amp;D"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3"/>
  <sheetViews>
    <sheetView zoomScale="85" workbookViewId="0">
      <selection activeCell="A6" sqref="A6"/>
    </sheetView>
  </sheetViews>
  <sheetFormatPr defaultRowHeight="12.75"/>
  <cols>
    <col min="2" max="2" width="10.85546875" customWidth="1"/>
    <col min="3" max="3" width="10.42578125" customWidth="1"/>
  </cols>
  <sheetData>
    <row r="1" spans="1:7">
      <c r="B1" s="3"/>
      <c r="C1" s="4"/>
      <c r="D1" s="4">
        <v>9.2999999999999999E-2</v>
      </c>
      <c r="E1" s="5"/>
    </row>
    <row r="2" spans="1:7">
      <c r="B2" s="6" t="s">
        <v>3</v>
      </c>
      <c r="C2" s="7" t="s">
        <v>0</v>
      </c>
      <c r="D2" s="7">
        <v>1300</v>
      </c>
      <c r="E2" s="8">
        <v>1324</v>
      </c>
    </row>
    <row r="3" spans="1:7">
      <c r="A3" t="s">
        <v>10</v>
      </c>
      <c r="B3" t="s">
        <v>12</v>
      </c>
      <c r="C3" t="s">
        <v>12</v>
      </c>
      <c r="D3" t="s">
        <v>4</v>
      </c>
      <c r="E3" t="s">
        <v>5</v>
      </c>
      <c r="F3" t="s">
        <v>6</v>
      </c>
    </row>
    <row r="4" spans="1:7">
      <c r="A4" t="s">
        <v>7</v>
      </c>
      <c r="B4" t="s">
        <v>11</v>
      </c>
      <c r="C4" t="s">
        <v>11</v>
      </c>
      <c r="D4" t="s">
        <v>8</v>
      </c>
      <c r="E4" t="s">
        <v>8</v>
      </c>
      <c r="F4" t="s">
        <v>9</v>
      </c>
    </row>
    <row r="5" spans="1:7" ht="14.25" customHeight="1">
      <c r="B5" s="2"/>
      <c r="C5" s="2"/>
      <c r="F5" t="s">
        <v>52</v>
      </c>
      <c r="G5" t="s">
        <v>53</v>
      </c>
    </row>
    <row r="6" spans="1:7">
      <c r="A6">
        <v>1260</v>
      </c>
      <c r="B6" s="2">
        <f>fibre_loss(B$2,$A6)</f>
        <v>0.4779123207996463</v>
      </c>
      <c r="C6" s="2">
        <f>fibre_loss(C$2,$A6)</f>
        <v>0.47812408980098553</v>
      </c>
      <c r="D6">
        <f>fibre_dispersion(D$2,$D$1,$A6)</f>
        <v>-3.9009216667266546</v>
      </c>
      <c r="E6">
        <f>fibre_dispersion(E$2,$D$1,$A6)</f>
        <v>-6.4210368427695608</v>
      </c>
      <c r="F6">
        <f>fibre_delay(D$2,$D$1,$A6)</f>
        <v>76.780650037784653</v>
      </c>
      <c r="G6">
        <f>fibre_delay(E$2,$D$1,$A6)</f>
        <v>200.26121094481641</v>
      </c>
    </row>
    <row r="7" spans="1:7">
      <c r="A7">
        <v>1270</v>
      </c>
      <c r="B7" s="2">
        <f t="shared" ref="B7:C42" si="0">fibre_loss(B$2,$A7)</f>
        <v>0.46633867890011516</v>
      </c>
      <c r="C7" s="2">
        <f t="shared" si="0"/>
        <v>0.45970512280473486</v>
      </c>
      <c r="D7">
        <f t="shared" ref="D7:E42" si="1">fibre_dispersion(D$2,$D$1,$A7)</f>
        <v>-2.8904242846674655</v>
      </c>
      <c r="E7">
        <f t="shared" si="1"/>
        <v>-5.351476693026644</v>
      </c>
      <c r="F7">
        <f t="shared" ref="F7:F42" si="2">fibre_delay(D$2,$D$1,$A7)</f>
        <v>42.844420763845847</v>
      </c>
      <c r="G7">
        <f t="shared" ref="G7:G42" si="3">fibre_delay(E$2,$D$1,$A7)</f>
        <v>141.42070007192524</v>
      </c>
    </row>
    <row r="8" spans="1:7">
      <c r="A8">
        <v>1280</v>
      </c>
      <c r="B8" s="2">
        <f t="shared" si="0"/>
        <v>0.45280876159984018</v>
      </c>
      <c r="C8" s="2">
        <f t="shared" si="0"/>
        <v>0.44575038173934445</v>
      </c>
      <c r="D8">
        <f t="shared" si="1"/>
        <v>-1.9040496253967285</v>
      </c>
      <c r="E8">
        <f t="shared" si="1"/>
        <v>-4.3078705765686056</v>
      </c>
      <c r="F8">
        <f t="shared" si="2"/>
        <v>18.891760253907705</v>
      </c>
      <c r="G8">
        <f t="shared" si="3"/>
        <v>93.145169003902993</v>
      </c>
    </row>
    <row r="9" spans="1:7">
      <c r="A9">
        <v>1290</v>
      </c>
      <c r="B9" s="2">
        <f t="shared" si="0"/>
        <v>0.43907881869984067</v>
      </c>
      <c r="C9" s="2">
        <f t="shared" si="0"/>
        <v>0.43502623183303513</v>
      </c>
      <c r="D9">
        <f t="shared" si="1"/>
        <v>-0.94086994785923939</v>
      </c>
      <c r="E9">
        <f t="shared" si="1"/>
        <v>-3.2892203215705691</v>
      </c>
      <c r="F9">
        <f t="shared" si="2"/>
        <v>4.686116369208321</v>
      </c>
      <c r="G9">
        <f t="shared" si="3"/>
        <v>55.180107413005317</v>
      </c>
    </row>
    <row r="10" spans="1:7">
      <c r="A10">
        <v>1300</v>
      </c>
      <c r="B10" s="2">
        <f t="shared" si="0"/>
        <v>0.42690509999977166</v>
      </c>
      <c r="C10" s="2">
        <f t="shared" si="0"/>
        <v>0.42653047869680449</v>
      </c>
      <c r="D10">
        <f t="shared" si="1"/>
        <v>0</v>
      </c>
      <c r="E10">
        <f t="shared" si="1"/>
        <v>-2.2945734708202075</v>
      </c>
      <c r="F10">
        <f t="shared" si="2"/>
        <v>0</v>
      </c>
      <c r="G10">
        <f t="shared" si="3"/>
        <v>27.280756033134821</v>
      </c>
    </row>
    <row r="11" spans="1:7">
      <c r="A11">
        <v>1310</v>
      </c>
      <c r="B11" s="2">
        <f t="shared" si="0"/>
        <v>0.41804385529974297</v>
      </c>
      <c r="C11" s="2">
        <f t="shared" si="0"/>
        <v>0.41946543901576661</v>
      </c>
      <c r="D11">
        <f t="shared" si="1"/>
        <v>0.91940523426320531</v>
      </c>
      <c r="E11">
        <f t="shared" si="1"/>
        <v>-1.3230208576485569</v>
      </c>
      <c r="F11">
        <f t="shared" si="2"/>
        <v>4.6145715575985378</v>
      </c>
      <c r="G11">
        <f t="shared" si="3"/>
        <v>9.2116617598003359</v>
      </c>
    </row>
    <row r="12" spans="1:7">
      <c r="A12">
        <v>1320</v>
      </c>
      <c r="B12" s="2">
        <f t="shared" si="0"/>
        <v>0.41425133439963702</v>
      </c>
      <c r="C12" s="2">
        <f t="shared" si="0"/>
        <v>0.41321254319336731</v>
      </c>
      <c r="D12">
        <f t="shared" si="1"/>
        <v>1.8181526525586442</v>
      </c>
      <c r="E12">
        <f t="shared" si="1"/>
        <v>-0.37369432765673111</v>
      </c>
      <c r="F12">
        <f t="shared" si="2"/>
        <v>18.319249311301974</v>
      </c>
      <c r="G12">
        <f t="shared" si="3"/>
        <v>0.74625625344197033</v>
      </c>
    </row>
    <row r="13" spans="1:7">
      <c r="A13">
        <v>1330</v>
      </c>
      <c r="B13" s="2">
        <f t="shared" si="0"/>
        <v>0.41728378710001834</v>
      </c>
      <c r="C13" s="2">
        <f t="shared" si="0"/>
        <v>0.40730847073427867</v>
      </c>
      <c r="D13">
        <f t="shared" si="1"/>
        <v>2.69701302517133</v>
      </c>
      <c r="E13">
        <f t="shared" si="1"/>
        <v>0.55423540355269418</v>
      </c>
      <c r="F13">
        <f t="shared" si="2"/>
        <v>40.911338261066703</v>
      </c>
      <c r="G13">
        <f t="shared" si="3"/>
        <v>1.6664566374602146</v>
      </c>
    </row>
    <row r="14" spans="1:7">
      <c r="A14">
        <v>1340</v>
      </c>
      <c r="B14" s="2">
        <f t="shared" si="0"/>
        <v>0.42889746319985989</v>
      </c>
      <c r="C14" s="2">
        <f t="shared" si="0"/>
        <v>0.4014228177984478</v>
      </c>
      <c r="D14">
        <f t="shared" si="1"/>
        <v>3.5567228681719469</v>
      </c>
      <c r="E14">
        <f t="shared" si="1"/>
        <v>1.461560765705888</v>
      </c>
      <c r="F14">
        <f t="shared" si="2"/>
        <v>72.195678324795153</v>
      </c>
      <c r="G14">
        <f t="shared" si="3"/>
        <v>11.762286977049371</v>
      </c>
    </row>
    <row r="15" spans="1:7">
      <c r="A15">
        <v>1350</v>
      </c>
      <c r="B15" s="2">
        <f t="shared" si="0"/>
        <v>0.45084861249972619</v>
      </c>
      <c r="C15" s="2">
        <f t="shared" si="0"/>
        <v>0.39533729742106516</v>
      </c>
      <c r="D15">
        <f t="shared" si="1"/>
        <v>4.3979862063709794</v>
      </c>
      <c r="E15">
        <f t="shared" si="1"/>
        <v>2.3490392306489882</v>
      </c>
      <c r="F15">
        <f t="shared" si="2"/>
        <v>111.98431069959042</v>
      </c>
      <c r="G15">
        <f t="shared" si="3"/>
        <v>30.831519311934244</v>
      </c>
    </row>
    <row r="16" spans="1:7">
      <c r="A16">
        <v>1360</v>
      </c>
      <c r="B16" s="2">
        <f t="shared" si="0"/>
        <v>0.48489348479995442</v>
      </c>
      <c r="C16" s="2">
        <f t="shared" si="0"/>
        <v>0.38892647226748522</v>
      </c>
      <c r="D16">
        <f t="shared" si="1"/>
        <v>5.2214762333350286</v>
      </c>
      <c r="E16">
        <f t="shared" si="1"/>
        <v>3.2173950983869299</v>
      </c>
      <c r="F16">
        <f t="shared" si="2"/>
        <v>160.09616133217787</v>
      </c>
      <c r="G16">
        <f t="shared" si="3"/>
        <v>58.679333096879418</v>
      </c>
    </row>
    <row r="17" spans="1:7">
      <c r="A17">
        <v>1370</v>
      </c>
      <c r="B17" s="2"/>
      <c r="C17" s="2">
        <f t="shared" si="0"/>
        <v>0.38214001983578783</v>
      </c>
      <c r="D17">
        <f t="shared" si="1"/>
        <v>6.027836875178167</v>
      </c>
      <c r="E17">
        <f t="shared" si="1"/>
        <v>4.0673211795922208</v>
      </c>
      <c r="F17">
        <f t="shared" si="2"/>
        <v>216.35674050296075</v>
      </c>
      <c r="G17">
        <f t="shared" si="3"/>
        <v>95.117991979328508</v>
      </c>
    </row>
    <row r="18" spans="1:7">
      <c r="A18">
        <v>1380</v>
      </c>
      <c r="B18" s="2"/>
      <c r="C18" s="2">
        <f t="shared" si="0"/>
        <v>0.37498652987414971</v>
      </c>
      <c r="D18">
        <f t="shared" si="1"/>
        <v>6.8176842643580562</v>
      </c>
      <c r="E18">
        <f t="shared" si="1"/>
        <v>4.8994803812863577</v>
      </c>
      <c r="F18">
        <f t="shared" si="2"/>
        <v>280.59785759294755</v>
      </c>
      <c r="G18">
        <f t="shared" si="3"/>
        <v>139.96653691241227</v>
      </c>
    </row>
    <row r="19" spans="1:7">
      <c r="A19">
        <v>1390</v>
      </c>
      <c r="B19" s="2"/>
      <c r="C19" s="2">
        <f t="shared" si="0"/>
        <v>0.36751883474062197</v>
      </c>
      <c r="D19">
        <f t="shared" si="1"/>
        <v>7.5916081292618216</v>
      </c>
      <c r="E19">
        <f t="shared" si="1"/>
        <v>5.7145072019180683</v>
      </c>
      <c r="F19">
        <f t="shared" si="2"/>
        <v>352.6573501630337</v>
      </c>
      <c r="G19">
        <f t="shared" si="3"/>
        <v>193.0504946669389</v>
      </c>
    </row>
    <row r="20" spans="1:7">
      <c r="A20">
        <v>1400</v>
      </c>
      <c r="B20" s="2"/>
      <c r="C20" s="2">
        <f t="shared" si="0"/>
        <v>0.35982087175943889</v>
      </c>
      <c r="D20">
        <f t="shared" si="1"/>
        <v>8.3501731049562675</v>
      </c>
      <c r="E20">
        <f t="shared" si="1"/>
        <v>6.513009141620989</v>
      </c>
      <c r="F20">
        <f t="shared" si="2"/>
        <v>432.3788265306066</v>
      </c>
      <c r="G20">
        <f t="shared" si="3"/>
        <v>254.20160086530086</v>
      </c>
    </row>
    <row r="21" spans="1:7">
      <c r="A21">
        <v>1410</v>
      </c>
      <c r="B21" s="2"/>
      <c r="C21" s="2">
        <f t="shared" si="0"/>
        <v>0.3519960777630331</v>
      </c>
      <c r="D21">
        <f t="shared" si="1"/>
        <v>9.0939199700986837</v>
      </c>
      <c r="E21">
        <f t="shared" si="1"/>
        <v>7.295568033026294</v>
      </c>
      <c r="F21">
        <f t="shared" si="2"/>
        <v>519.61142108042986</v>
      </c>
      <c r="G21">
        <f t="shared" si="3"/>
        <v>323.25753671645361</v>
      </c>
    </row>
    <row r="22" spans="1:7">
      <c r="A22">
        <v>1420</v>
      </c>
      <c r="B22" s="2">
        <f t="shared" si="0"/>
        <v>0.45683921916725012</v>
      </c>
      <c r="C22" s="2">
        <f t="shared" si="0"/>
        <v>0.34415731781336945</v>
      </c>
      <c r="D22">
        <f t="shared" si="1"/>
        <v>9.8233668146550404</v>
      </c>
      <c r="E22">
        <f t="shared" si="1"/>
        <v>8.0627412976298558</v>
      </c>
      <c r="F22">
        <f t="shared" si="2"/>
        <v>614.20956159492198</v>
      </c>
      <c r="G22">
        <f t="shared" si="3"/>
        <v>400.0616786827959</v>
      </c>
    </row>
    <row r="23" spans="1:7">
      <c r="A23">
        <v>1430</v>
      </c>
      <c r="B23" s="2">
        <f t="shared" si="0"/>
        <v>0.41437054554035058</v>
      </c>
      <c r="C23" s="2">
        <f t="shared" si="0"/>
        <v>0.33641834375157487</v>
      </c>
      <c r="D23">
        <f t="shared" si="1"/>
        <v>10.539010142749813</v>
      </c>
      <c r="E23">
        <f t="shared" si="1"/>
        <v>8.8150631323664861</v>
      </c>
      <c r="F23">
        <f t="shared" si="2"/>
        <v>716.03274793388846</v>
      </c>
      <c r="G23">
        <f t="shared" si="3"/>
        <v>484.4628603579622</v>
      </c>
    </row>
    <row r="24" spans="1:7">
      <c r="A24">
        <v>1440</v>
      </c>
      <c r="B24" s="2">
        <f t="shared" si="0"/>
        <v>0.38057442864692348</v>
      </c>
      <c r="C24" s="2">
        <f t="shared" si="0"/>
        <v>0.32888678768358659</v>
      </c>
      <c r="D24">
        <f t="shared" si="1"/>
        <v>11.241325914673354</v>
      </c>
      <c r="E24">
        <f t="shared" si="1"/>
        <v>9.5530456307227372</v>
      </c>
      <c r="F24">
        <f t="shared" si="2"/>
        <v>824.94534143518104</v>
      </c>
      <c r="G24">
        <f t="shared" si="3"/>
        <v>576.31514587962738</v>
      </c>
    </row>
    <row r="25" spans="1:7">
      <c r="A25">
        <v>1450</v>
      </c>
      <c r="B25" s="2">
        <f t="shared" si="0"/>
        <v>0.35407990056182825</v>
      </c>
      <c r="C25" s="2">
        <f t="shared" si="0"/>
        <v>0.32165868613810744</v>
      </c>
      <c r="D25">
        <f t="shared" si="1"/>
        <v>11.930770531797121</v>
      </c>
      <c r="E25">
        <f t="shared" si="1"/>
        <v>10.277179842423386</v>
      </c>
      <c r="F25">
        <f t="shared" si="2"/>
        <v>940.8163644470842</v>
      </c>
      <c r="G25">
        <f t="shared" si="3"/>
        <v>675.4776142430419</v>
      </c>
    </row>
    <row r="26" spans="1:7">
      <c r="A26">
        <v>1460</v>
      </c>
      <c r="B26" s="2">
        <f t="shared" si="0"/>
        <v>0.33363948850956149</v>
      </c>
      <c r="C26" s="2">
        <f t="shared" si="0"/>
        <v>0.31481453789456282</v>
      </c>
      <c r="D26">
        <f t="shared" si="1"/>
        <v>12.607781767891892</v>
      </c>
      <c r="E26">
        <f t="shared" si="1"/>
        <v>10.987936775451972</v>
      </c>
      <c r="F26">
        <f t="shared" si="2"/>
        <v>1063.5193094389178</v>
      </c>
      <c r="G26">
        <f t="shared" si="3"/>
        <v>781.81415392005874</v>
      </c>
    </row>
    <row r="27" spans="1:7">
      <c r="A27">
        <v>1470</v>
      </c>
      <c r="B27" s="2">
        <f t="shared" si="0"/>
        <v>0.31812921485061452</v>
      </c>
      <c r="C27" s="2">
        <f t="shared" si="0"/>
        <v>0.30841689347289503</v>
      </c>
      <c r="D27">
        <f t="shared" si="1"/>
        <v>13.272779650107996</v>
      </c>
      <c r="E27">
        <f t="shared" si="1"/>
        <v>11.685768343911882</v>
      </c>
      <c r="F27">
        <f t="shared" si="2"/>
        <v>1192.9319571706292</v>
      </c>
      <c r="G27">
        <f t="shared" si="3"/>
        <v>895.19326722476399</v>
      </c>
    </row>
    <row r="28" spans="1:7">
      <c r="A28">
        <v>1480</v>
      </c>
      <c r="B28" s="2">
        <f t="shared" si="0"/>
        <v>0.30654859709602533</v>
      </c>
      <c r="C28" s="2">
        <f t="shared" si="0"/>
        <v>0.30250947771128267</v>
      </c>
      <c r="D28">
        <f t="shared" si="1"/>
        <v>13.926167292657887</v>
      </c>
      <c r="E28">
        <f t="shared" si="1"/>
        <v>12.371108264999112</v>
      </c>
      <c r="F28">
        <f t="shared" si="2"/>
        <v>1328.9362034331643</v>
      </c>
      <c r="G28">
        <f t="shared" si="3"/>
        <v>1015.4878839006633</v>
      </c>
    </row>
    <row r="29" spans="1:7">
      <c r="A29">
        <v>1490</v>
      </c>
      <c r="B29" s="2">
        <f t="shared" si="0"/>
        <v>0.29802064788191274</v>
      </c>
      <c r="C29" s="2">
        <f t="shared" si="0"/>
        <v>0.29711784410756081</v>
      </c>
      <c r="D29">
        <f t="shared" si="1"/>
        <v>14.568331686038691</v>
      </c>
      <c r="E29">
        <f t="shared" si="1"/>
        <v>13.044372908139756</v>
      </c>
      <c r="F29">
        <f t="shared" si="2"/>
        <v>1471.417893901169</v>
      </c>
      <c r="G29">
        <f t="shared" si="3"/>
        <v>1142.5751834358744</v>
      </c>
    </row>
    <row r="30" spans="1:7">
      <c r="A30">
        <v>1500</v>
      </c>
      <c r="B30" s="2">
        <f t="shared" si="0"/>
        <v>0.29179187500039916</v>
      </c>
      <c r="C30" s="2">
        <f t="shared" si="0"/>
        <v>0.29225156243774109</v>
      </c>
      <c r="D30">
        <f t="shared" si="1"/>
        <v>15.199644444444445</v>
      </c>
      <c r="E30">
        <f t="shared" si="1"/>
        <v>13.705962099143113</v>
      </c>
      <c r="F30">
        <f t="shared" si="2"/>
        <v>1620.2666666666701</v>
      </c>
      <c r="G30">
        <f t="shared" si="3"/>
        <v>1276.3364256426648</v>
      </c>
    </row>
    <row r="31" spans="1:7">
      <c r="A31">
        <v>1510</v>
      </c>
      <c r="B31" s="2">
        <f t="shared" si="0"/>
        <v>0.28723228138142076</v>
      </c>
      <c r="C31" s="2">
        <f t="shared" si="0"/>
        <v>0.28790793861844577</v>
      </c>
      <c r="D31">
        <f t="shared" si="1"/>
        <v>15.8204625138435</v>
      </c>
      <c r="E31">
        <f t="shared" si="1"/>
        <v>14.356259882033756</v>
      </c>
      <c r="F31">
        <f t="shared" si="2"/>
        <v>1775.3758020481546</v>
      </c>
      <c r="G31">
        <f t="shared" si="3"/>
        <v>1416.6567890645092</v>
      </c>
    </row>
    <row r="32" spans="1:7">
      <c r="A32">
        <v>1520</v>
      </c>
      <c r="B32" s="2">
        <f t="shared" si="0"/>
        <v>0.28383536509454643</v>
      </c>
      <c r="C32" s="2">
        <f t="shared" si="0"/>
        <v>0.28407726579462178</v>
      </c>
      <c r="D32">
        <f t="shared" si="1"/>
        <v>16.431128843034699</v>
      </c>
      <c r="E32">
        <f t="shared" si="1"/>
        <v>14.995635241051902</v>
      </c>
      <c r="F32">
        <f t="shared" si="2"/>
        <v>1936.6420792936333</v>
      </c>
      <c r="G32">
        <f t="shared" si="3"/>
        <v>1563.4252168005551</v>
      </c>
    </row>
    <row r="33" spans="1:7">
      <c r="A33">
        <v>1530</v>
      </c>
      <c r="B33" s="2">
        <f t="shared" si="0"/>
        <v>0.28121811934897778</v>
      </c>
      <c r="C33" s="2">
        <f t="shared" si="0"/>
        <v>0.28074961059610359</v>
      </c>
      <c r="D33">
        <f t="shared" si="1"/>
        <v>17.031973019845726</v>
      </c>
      <c r="E33">
        <f t="shared" si="1"/>
        <v>15.62444278514967</v>
      </c>
      <c r="F33">
        <f t="shared" si="2"/>
        <v>2103.9656398180232</v>
      </c>
      <c r="G33">
        <f t="shared" si="3"/>
        <v>1716.5342693605053</v>
      </c>
    </row>
    <row r="34" spans="1:7">
      <c r="A34">
        <v>1540</v>
      </c>
      <c r="B34" s="2">
        <f t="shared" si="0"/>
        <v>0.27912103250992004</v>
      </c>
      <c r="C34" s="2">
        <f t="shared" si="0"/>
        <v>0.27792312866949942</v>
      </c>
      <c r="D34">
        <f t="shared" si="1"/>
        <v>17.623311874497574</v>
      </c>
      <c r="E34">
        <f t="shared" si="1"/>
        <v>16.243023397160776</v>
      </c>
      <c r="F34">
        <f t="shared" si="2"/>
        <v>2277.249856636874</v>
      </c>
      <c r="G34">
        <f t="shared" si="3"/>
        <v>1875.8799841861983</v>
      </c>
    </row>
    <row r="35" spans="1:7">
      <c r="A35">
        <v>1550</v>
      </c>
      <c r="B35" s="2">
        <f t="shared" si="0"/>
        <v>0.2774080880622023</v>
      </c>
      <c r="C35" s="2">
        <f t="shared" si="0"/>
        <v>0.27561391521885525</v>
      </c>
      <c r="D35">
        <f t="shared" si="1"/>
        <v>18.205450052029139</v>
      </c>
      <c r="E35">
        <f t="shared" si="1"/>
        <v>16.851704849681582</v>
      </c>
      <c r="F35">
        <f t="shared" si="2"/>
        <v>2456.401209677424</v>
      </c>
      <c r="G35">
        <f t="shared" si="3"/>
        <v>2041.3617414967739</v>
      </c>
    </row>
    <row r="36" spans="1:7">
      <c r="A36">
        <v>1560</v>
      </c>
      <c r="B36" s="2">
        <f t="shared" si="0"/>
        <v>0.27606676464665725</v>
      </c>
      <c r="C36" s="2">
        <f t="shared" si="0"/>
        <v>0.27386738681525458</v>
      </c>
      <c r="D36">
        <f t="shared" si="1"/>
        <v>18.778680555555557</v>
      </c>
      <c r="E36">
        <f t="shared" si="1"/>
        <v>17.450802389571638</v>
      </c>
      <c r="F36">
        <f t="shared" si="2"/>
        <v>2641.3291666666701</v>
      </c>
      <c r="G36">
        <f t="shared" si="3"/>
        <v>2212.8821361341179</v>
      </c>
    </row>
    <row r="37" spans="1:7">
      <c r="A37">
        <v>1570</v>
      </c>
      <c r="B37" s="2">
        <f t="shared" si="0"/>
        <v>0.27520803604193134</v>
      </c>
      <c r="C37" s="2">
        <f t="shared" si="0"/>
        <v>0.27277119555219542</v>
      </c>
      <c r="D37">
        <f t="shared" si="1"/>
        <v>19.343285262021457</v>
      </c>
      <c r="E37">
        <f t="shared" si="1"/>
        <v>18.04061929286107</v>
      </c>
      <c r="F37">
        <f t="shared" si="2"/>
        <v>2831.9460693131623</v>
      </c>
      <c r="G37">
        <f t="shared" si="3"/>
        <v>2390.3468551040569</v>
      </c>
    </row>
    <row r="38" spans="1:7">
      <c r="A38">
        <v>1580</v>
      </c>
      <c r="B38" s="2">
        <f t="shared" si="0"/>
        <v>0.27506637116812271</v>
      </c>
      <c r="C38" s="2">
        <f t="shared" si="0"/>
        <v>0.27246967640530784</v>
      </c>
      <c r="D38">
        <f t="shared" si="1"/>
        <v>19.899535412005946</v>
      </c>
      <c r="E38">
        <f t="shared" si="1"/>
        <v>18.621447391739803</v>
      </c>
      <c r="F38">
        <f t="shared" si="2"/>
        <v>3028.1670245153</v>
      </c>
      <c r="G38">
        <f t="shared" si="3"/>
        <v>2573.6645605255617</v>
      </c>
    </row>
    <row r="39" spans="1:7">
      <c r="A39">
        <v>1590</v>
      </c>
      <c r="B39" s="2">
        <f t="shared" si="0"/>
        <v>0.27599973408314327</v>
      </c>
      <c r="C39" s="2">
        <f t="shared" si="0"/>
        <v>0.27317982648673933</v>
      </c>
      <c r="D39">
        <f t="shared" si="1"/>
        <v>20.447692075038827</v>
      </c>
      <c r="E39">
        <f t="shared" si="1"/>
        <v>19.193567575198916</v>
      </c>
      <c r="F39">
        <f t="shared" si="2"/>
        <v>3229.9098003441322</v>
      </c>
      <c r="G39">
        <f t="shared" si="3"/>
        <v>2762.7467777168567</v>
      </c>
    </row>
    <row r="40" spans="1:7">
      <c r="A40">
        <v>1600</v>
      </c>
      <c r="B40" s="2">
        <f t="shared" si="0"/>
        <v>0.27848958400090851</v>
      </c>
      <c r="C40" s="2">
        <f t="shared" si="0"/>
        <v>0.27520881722739432</v>
      </c>
      <c r="D40">
        <f t="shared" si="1"/>
        <v>20.988006591796875</v>
      </c>
      <c r="E40">
        <f t="shared" si="1"/>
        <v>19.757250264796877</v>
      </c>
      <c r="F40">
        <f t="shared" si="2"/>
        <v>3437.0947265625</v>
      </c>
      <c r="G40">
        <f t="shared" si="3"/>
        <v>2957.5077881624966</v>
      </c>
    </row>
    <row r="41" spans="1:7">
      <c r="A41">
        <v>1610</v>
      </c>
      <c r="B41" s="2">
        <f t="shared" si="0"/>
        <v>0.28314087525495779</v>
      </c>
      <c r="C41" s="2">
        <f t="shared" si="0"/>
        <v>0.27897303811914753</v>
      </c>
      <c r="D41">
        <f t="shared" si="1"/>
        <v>21.520720994464547</v>
      </c>
      <c r="E41">
        <f t="shared" si="1"/>
        <v>20.312755866932516</v>
      </c>
      <c r="F41">
        <f t="shared" si="2"/>
        <v>3649.6445994560345</v>
      </c>
      <c r="G41">
        <f t="shared" si="3"/>
        <v>3157.8645271193236</v>
      </c>
    </row>
    <row r="42" spans="1:7">
      <c r="A42">
        <v>1620</v>
      </c>
      <c r="B42" s="2">
        <f t="shared" si="0"/>
        <v>0.29068205734392905</v>
      </c>
      <c r="C42" s="2">
        <f t="shared" si="0"/>
        <v>0.28501867428713012</v>
      </c>
      <c r="D42">
        <f t="shared" si="1"/>
        <v>22.046068406464688</v>
      </c>
      <c r="E42">
        <f t="shared" si="1"/>
        <v>20.860335202921867</v>
      </c>
      <c r="F42">
        <f t="shared" si="2"/>
        <v>3867.4845907636045</v>
      </c>
      <c r="G42">
        <f t="shared" si="3"/>
        <v>3363.7364856332861</v>
      </c>
    </row>
    <row r="43" spans="1:7">
      <c r="B43" s="2"/>
      <c r="C43" s="2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33"/>
  <sheetViews>
    <sheetView workbookViewId="0">
      <selection activeCell="B6" sqref="B6:B7"/>
    </sheetView>
  </sheetViews>
  <sheetFormatPr defaultRowHeight="12.75"/>
  <cols>
    <col min="1" max="1" width="12.28515625" style="81" bestFit="1" customWidth="1"/>
    <col min="2" max="2" width="12.7109375" style="81" bestFit="1" customWidth="1"/>
    <col min="3" max="3" width="11.85546875" style="81" bestFit="1" customWidth="1"/>
    <col min="4" max="16384" width="9.140625" style="81"/>
  </cols>
  <sheetData>
    <row r="1" spans="1:3" ht="15">
      <c r="A1" s="78" t="s">
        <v>97</v>
      </c>
      <c r="B1" s="79">
        <v>2.9979245799999998</v>
      </c>
      <c r="C1" s="80" t="s">
        <v>98</v>
      </c>
    </row>
    <row r="2" spans="1:3" ht="15">
      <c r="A2" s="78" t="s">
        <v>100</v>
      </c>
      <c r="B2" s="79">
        <v>193.1</v>
      </c>
      <c r="C2" s="80" t="s">
        <v>17</v>
      </c>
    </row>
    <row r="3" spans="1:3" ht="15">
      <c r="A3" s="78" t="s">
        <v>101</v>
      </c>
      <c r="B3" s="79">
        <f>-ROUND((B8-B2)/(B7/1000),0)-10</f>
        <v>-209</v>
      </c>
      <c r="C3" s="80" t="s">
        <v>102</v>
      </c>
    </row>
    <row r="5" spans="1:3" ht="15">
      <c r="A5" s="106" t="s">
        <v>103</v>
      </c>
      <c r="B5" s="106"/>
      <c r="C5" s="106"/>
    </row>
    <row r="6" spans="1:3" ht="15">
      <c r="A6" s="82" t="s">
        <v>104</v>
      </c>
      <c r="B6" s="76">
        <v>1287.5</v>
      </c>
      <c r="C6" s="83" t="s">
        <v>25</v>
      </c>
    </row>
    <row r="7" spans="1:3" ht="15">
      <c r="A7" s="78" t="s">
        <v>99</v>
      </c>
      <c r="B7" s="76">
        <v>200</v>
      </c>
      <c r="C7" s="80" t="s">
        <v>19</v>
      </c>
    </row>
    <row r="8" spans="1:3" ht="15">
      <c r="A8" s="82" t="s">
        <v>105</v>
      </c>
      <c r="B8" s="84">
        <f>100000*SOL/B6</f>
        <v>232.84851106796114</v>
      </c>
      <c r="C8" s="83" t="s">
        <v>17</v>
      </c>
    </row>
    <row r="9" spans="1:3" ht="30">
      <c r="A9" s="85" t="s">
        <v>108</v>
      </c>
      <c r="B9" s="84">
        <f>$B$2-B3*$B$7/1000</f>
        <v>234.89999999999998</v>
      </c>
      <c r="C9" s="80" t="s">
        <v>17</v>
      </c>
    </row>
    <row r="10" spans="1:3" ht="15">
      <c r="A10" s="86"/>
      <c r="B10" s="87"/>
      <c r="C10" s="88"/>
    </row>
    <row r="11" spans="1:3" ht="15">
      <c r="A11" s="107" t="s">
        <v>109</v>
      </c>
      <c r="B11" s="107"/>
      <c r="C11" s="107"/>
    </row>
    <row r="12" spans="1:3" ht="15">
      <c r="A12" s="89" t="s">
        <v>102</v>
      </c>
      <c r="B12" s="89" t="s">
        <v>17</v>
      </c>
      <c r="C12" s="90" t="s">
        <v>106</v>
      </c>
    </row>
    <row r="13" spans="1:3">
      <c r="A13" s="91">
        <f>INT(B3)</f>
        <v>-209</v>
      </c>
      <c r="B13" s="92">
        <f t="shared" ref="B13:B33" si="0">$B$2-A13*($B$7/1000)</f>
        <v>234.9</v>
      </c>
      <c r="C13" s="92">
        <f>100000*$B$1/B13</f>
        <v>1276.2556747552148</v>
      </c>
    </row>
    <row r="14" spans="1:3">
      <c r="A14" s="91">
        <f>A13+1</f>
        <v>-208</v>
      </c>
      <c r="B14" s="92">
        <f t="shared" si="0"/>
        <v>234.7</v>
      </c>
      <c r="C14" s="92">
        <f>100000*SOL/B14</f>
        <v>1277.3432381763953</v>
      </c>
    </row>
    <row r="15" spans="1:3">
      <c r="A15" s="91">
        <f t="shared" ref="A15:A33" si="1">A14+1</f>
        <v>-207</v>
      </c>
      <c r="B15" s="92">
        <f t="shared" si="0"/>
        <v>234.5</v>
      </c>
      <c r="C15" s="92">
        <f t="shared" ref="C15:C33" si="2">100000*$B$1/B15</f>
        <v>1278.4326567164178</v>
      </c>
    </row>
    <row r="16" spans="1:3">
      <c r="A16" s="91">
        <f t="shared" si="1"/>
        <v>-206</v>
      </c>
      <c r="B16" s="92">
        <f t="shared" si="0"/>
        <v>234.3</v>
      </c>
      <c r="C16" s="92">
        <f t="shared" si="2"/>
        <v>1279.5239351259067</v>
      </c>
    </row>
    <row r="17" spans="1:3">
      <c r="A17" s="91">
        <f t="shared" si="1"/>
        <v>-205</v>
      </c>
      <c r="B17" s="92">
        <f t="shared" si="0"/>
        <v>234.1</v>
      </c>
      <c r="C17" s="92">
        <f t="shared" si="2"/>
        <v>1280.6170781717215</v>
      </c>
    </row>
    <row r="18" spans="1:3">
      <c r="A18" s="91">
        <f t="shared" si="1"/>
        <v>-204</v>
      </c>
      <c r="B18" s="92">
        <f t="shared" si="0"/>
        <v>233.9</v>
      </c>
      <c r="C18" s="92">
        <f t="shared" si="2"/>
        <v>1281.7120906370242</v>
      </c>
    </row>
    <row r="19" spans="1:3">
      <c r="A19" s="91">
        <f t="shared" si="1"/>
        <v>-203</v>
      </c>
      <c r="B19" s="92">
        <f t="shared" si="0"/>
        <v>233.7</v>
      </c>
      <c r="C19" s="92">
        <f t="shared" si="2"/>
        <v>1282.8089773213521</v>
      </c>
    </row>
    <row r="20" spans="1:3">
      <c r="A20" s="91">
        <f t="shared" si="1"/>
        <v>-202</v>
      </c>
      <c r="B20" s="92">
        <f t="shared" si="0"/>
        <v>233.5</v>
      </c>
      <c r="C20" s="92">
        <f>100000*$B$1/B20</f>
        <v>1283.9077430406851</v>
      </c>
    </row>
    <row r="21" spans="1:3">
      <c r="A21" s="91">
        <f t="shared" si="1"/>
        <v>-201</v>
      </c>
      <c r="B21" s="92">
        <f t="shared" si="0"/>
        <v>233.3</v>
      </c>
      <c r="C21" s="92">
        <f t="shared" si="2"/>
        <v>1285.0083926275181</v>
      </c>
    </row>
    <row r="22" spans="1:3">
      <c r="A22" s="91">
        <f t="shared" si="1"/>
        <v>-200</v>
      </c>
      <c r="B22" s="92">
        <f t="shared" si="0"/>
        <v>233.1</v>
      </c>
      <c r="C22" s="92">
        <f t="shared" si="2"/>
        <v>1286.1109309309309</v>
      </c>
    </row>
    <row r="23" spans="1:3">
      <c r="A23" s="93">
        <f t="shared" si="1"/>
        <v>-199</v>
      </c>
      <c r="B23" s="94">
        <f t="shared" si="0"/>
        <v>232.9</v>
      </c>
      <c r="C23" s="94">
        <f t="shared" si="2"/>
        <v>1287.2153628166593</v>
      </c>
    </row>
    <row r="24" spans="1:3">
      <c r="A24" s="91">
        <f t="shared" si="1"/>
        <v>-198</v>
      </c>
      <c r="B24" s="92">
        <f t="shared" si="0"/>
        <v>232.7</v>
      </c>
      <c r="C24" s="92">
        <f t="shared" si="2"/>
        <v>1288.321693167168</v>
      </c>
    </row>
    <row r="25" spans="1:3">
      <c r="A25" s="91">
        <f t="shared" si="1"/>
        <v>-197</v>
      </c>
      <c r="B25" s="92">
        <f t="shared" si="0"/>
        <v>232.5</v>
      </c>
      <c r="C25" s="92">
        <f t="shared" si="2"/>
        <v>1289.4299268817203</v>
      </c>
    </row>
    <row r="26" spans="1:3">
      <c r="A26" s="91">
        <f t="shared" si="1"/>
        <v>-196</v>
      </c>
      <c r="B26" s="92">
        <f t="shared" si="0"/>
        <v>232.3</v>
      </c>
      <c r="C26" s="92">
        <f t="shared" si="2"/>
        <v>1290.5400688764528</v>
      </c>
    </row>
    <row r="27" spans="1:3">
      <c r="A27" s="91">
        <f t="shared" si="1"/>
        <v>-195</v>
      </c>
      <c r="B27" s="92">
        <f t="shared" si="0"/>
        <v>232.1</v>
      </c>
      <c r="C27" s="92">
        <f t="shared" si="2"/>
        <v>1291.6521240844463</v>
      </c>
    </row>
    <row r="28" spans="1:3">
      <c r="A28" s="91">
        <f t="shared" si="1"/>
        <v>-194</v>
      </c>
      <c r="B28" s="92">
        <f t="shared" si="0"/>
        <v>231.9</v>
      </c>
      <c r="C28" s="92">
        <f t="shared" si="2"/>
        <v>1292.7660974557998</v>
      </c>
    </row>
    <row r="29" spans="1:3">
      <c r="A29" s="91">
        <f t="shared" si="1"/>
        <v>-193</v>
      </c>
      <c r="B29" s="92">
        <f t="shared" si="0"/>
        <v>231.7</v>
      </c>
      <c r="C29" s="92">
        <f t="shared" si="2"/>
        <v>1293.881993957704</v>
      </c>
    </row>
    <row r="30" spans="1:3">
      <c r="A30" s="91">
        <f t="shared" si="1"/>
        <v>-192</v>
      </c>
      <c r="B30" s="92">
        <f t="shared" si="0"/>
        <v>231.5</v>
      </c>
      <c r="C30" s="92">
        <f t="shared" si="2"/>
        <v>1294.9998185745139</v>
      </c>
    </row>
    <row r="31" spans="1:3">
      <c r="A31" s="91">
        <f t="shared" si="1"/>
        <v>-191</v>
      </c>
      <c r="B31" s="92">
        <f t="shared" si="0"/>
        <v>231.3</v>
      </c>
      <c r="C31" s="92">
        <f t="shared" si="2"/>
        <v>1296.1195763078251</v>
      </c>
    </row>
    <row r="32" spans="1:3">
      <c r="A32" s="91">
        <f t="shared" si="1"/>
        <v>-190</v>
      </c>
      <c r="B32" s="92">
        <f t="shared" si="0"/>
        <v>231.1</v>
      </c>
      <c r="C32" s="92">
        <f t="shared" si="2"/>
        <v>1297.241272176547</v>
      </c>
    </row>
    <row r="33" spans="1:3">
      <c r="A33" s="91">
        <f t="shared" si="1"/>
        <v>-189</v>
      </c>
      <c r="B33" s="92">
        <f t="shared" si="0"/>
        <v>230.9</v>
      </c>
      <c r="C33" s="92">
        <f t="shared" si="2"/>
        <v>1298.3649112169769</v>
      </c>
    </row>
  </sheetData>
  <sheetProtection sheet="1" objects="1" scenarios="1" selectLockedCells="1"/>
  <mergeCells count="2">
    <mergeCell ref="A5:C5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Rev</vt:lpstr>
      <vt:lpstr>4 Chan WDM</vt:lpstr>
      <vt:lpstr>Functions</vt:lpstr>
      <vt:lpstr>Channel Est</vt:lpstr>
      <vt:lpstr>MaxLambdaTable</vt:lpstr>
      <vt:lpstr>MinLambdaTable</vt:lpstr>
      <vt:lpstr>SOL</vt:lpstr>
    </vt:vector>
  </TitlesOfParts>
  <Company>Nortel Networks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Fibre Characteristics</dc:title>
  <dc:creator>Pete Anslow</dc:creator>
  <cp:lastModifiedBy>Duane</cp:lastModifiedBy>
  <dcterms:created xsi:type="dcterms:W3CDTF">2007-09-12T21:17:07Z</dcterms:created>
  <dcterms:modified xsi:type="dcterms:W3CDTF">2016-05-13T21:26:21Z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1463090948</vt:lpwstr>
  </property>
</Properties>
</file>